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workbookProtection workbookAlgorithmName="SHA-512" workbookHashValue="CKcqLeB0RSgknaTtBOfoHpxMFbpY6PBj0rN4JVKODNpnt91OfhrGp4DW5eFG3ttzbYPUmgE12EkqNED2zIxEHA==" workbookSaltValue="ZxDgaKMnaH6oW0v/c3coiA==" workbookSpinCount="100000" lockStructure="1"/>
  <bookViews>
    <workbookView xWindow="240" yWindow="105" windowWidth="14805" windowHeight="8010"/>
  </bookViews>
  <sheets>
    <sheet name="Base" sheetId="1" r:id="rId1"/>
    <sheet name="Equipo" sheetId="8" state="hidden" r:id="rId2"/>
    <sheet name="Virtudes y defectos" sheetId="6" state="hidden" r:id="rId3"/>
    <sheet name="Ocupaciones" sheetId="4" state="hidden" r:id="rId4"/>
    <sheet name="Factores planetarios" sheetId="5" state="hidden" r:id="rId5"/>
    <sheet name="Especies" sheetId="3" state="hidden" r:id="rId6"/>
    <sheet name="Características" sheetId="2" state="hidden" r:id="rId7"/>
  </sheets>
  <definedNames>
    <definedName name="_xlnm._FilterDatabase" localSheetId="1" hidden="1">Equipo!$A$2:$B$16</definedName>
    <definedName name="_xlnm.Print_Area" localSheetId="0">Base!$B$3:$AN$56</definedName>
    <definedName name="Especies">Especies!$A$3:$A$39</definedName>
  </definedNames>
  <calcPr calcId="152511"/>
</workbook>
</file>

<file path=xl/calcChain.xml><?xml version="1.0" encoding="utf-8"?>
<calcChain xmlns="http://schemas.openxmlformats.org/spreadsheetml/2006/main">
  <c r="AM25" i="1" l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N24" i="1"/>
  <c r="AM24" i="1" l="1"/>
  <c r="AN39" i="1" l="1"/>
  <c r="AM16" i="1" l="1"/>
  <c r="AM15" i="1"/>
  <c r="AM14" i="1"/>
  <c r="K2" i="6"/>
  <c r="K3" i="6"/>
  <c r="K1" i="6"/>
  <c r="J2" i="6" l="1"/>
  <c r="J3" i="6"/>
  <c r="J1" i="6"/>
  <c r="C2" i="6"/>
  <c r="C3" i="6" s="1"/>
  <c r="D2" i="6"/>
  <c r="D3" i="6" s="1"/>
  <c r="B2" i="6"/>
  <c r="B3" i="6" s="1"/>
  <c r="AN15" i="1"/>
  <c r="L2" i="6" s="1"/>
  <c r="M2" i="6" s="1"/>
  <c r="AN16" i="1"/>
  <c r="L3" i="6" s="1"/>
  <c r="M3" i="6" s="1"/>
  <c r="AN14" i="1"/>
  <c r="L1" i="6" s="1"/>
  <c r="M1" i="6" s="1"/>
  <c r="A2" i="6"/>
  <c r="B1" i="6"/>
  <c r="C1" i="6"/>
  <c r="A1" i="6"/>
  <c r="N3" i="6" l="1"/>
  <c r="AM19" i="1" s="1"/>
  <c r="N2" i="6"/>
  <c r="AM18" i="1" s="1"/>
  <c r="N1" i="6"/>
  <c r="AM17" i="1"/>
  <c r="L18" i="1"/>
  <c r="L17" i="1"/>
  <c r="F35" i="1" l="1"/>
  <c r="D15" i="1"/>
  <c r="O6" i="1"/>
  <c r="F15" i="1" s="1"/>
  <c r="AH19" i="1"/>
  <c r="AH18" i="1"/>
  <c r="V22" i="1"/>
  <c r="P22" i="1"/>
  <c r="P18" i="1"/>
  <c r="P16" i="1"/>
  <c r="R16" i="1" s="1"/>
  <c r="P15" i="1"/>
  <c r="P23" i="1"/>
  <c r="J16" i="1"/>
  <c r="J14" i="1"/>
  <c r="AH30" i="1"/>
  <c r="AJ30" i="1" s="1"/>
  <c r="AH26" i="1"/>
  <c r="AJ26" i="1" s="1"/>
  <c r="AH16" i="1"/>
  <c r="AJ16" i="1" s="1"/>
  <c r="AH14" i="1"/>
  <c r="AJ14" i="1" s="1"/>
  <c r="AB21" i="1"/>
  <c r="AD21" i="1" s="1"/>
  <c r="V20" i="1"/>
  <c r="X20" i="1" s="1"/>
  <c r="V14" i="1"/>
  <c r="X14" i="1" s="1"/>
  <c r="P21" i="1"/>
  <c r="R21" i="1" s="1"/>
  <c r="J20" i="1"/>
  <c r="L20" i="1" s="1"/>
  <c r="J19" i="1"/>
  <c r="L19" i="1" s="1"/>
  <c r="J15" i="1"/>
  <c r="L15" i="1" s="1"/>
  <c r="D18" i="1"/>
  <c r="F18" i="1" s="1"/>
  <c r="AB20" i="1"/>
  <c r="AD20" i="1" s="1"/>
  <c r="V17" i="1"/>
  <c r="X17" i="1" s="1"/>
  <c r="V16" i="1"/>
  <c r="X16" i="1" s="1"/>
  <c r="D19" i="1"/>
  <c r="F19" i="1" s="1"/>
  <c r="D37" i="1"/>
  <c r="D39" i="1"/>
  <c r="F39" i="1" s="1"/>
  <c r="D38" i="1"/>
  <c r="F38" i="1" s="1"/>
  <c r="D40" i="1"/>
  <c r="F40" i="1" s="1"/>
  <c r="AH35" i="1"/>
  <c r="AJ35" i="1" s="1"/>
  <c r="AH34" i="1"/>
  <c r="AJ34" i="1" s="1"/>
  <c r="AB19" i="1"/>
  <c r="AD19" i="1" s="1"/>
  <c r="D28" i="1"/>
  <c r="F28" i="1" s="1"/>
  <c r="D24" i="1"/>
  <c r="F24" i="1" s="1"/>
  <c r="D20" i="1"/>
  <c r="F20" i="1" s="1"/>
  <c r="AB23" i="1"/>
  <c r="AD23" i="1" s="1"/>
  <c r="AB22" i="1"/>
  <c r="AD22" i="1" s="1"/>
  <c r="AH27" i="1"/>
  <c r="AJ27" i="1" s="1"/>
  <c r="AH21" i="1"/>
  <c r="AJ21" i="1" s="1"/>
  <c r="AH23" i="1"/>
  <c r="AJ23" i="1" s="1"/>
  <c r="AJ17" i="1" l="1"/>
  <c r="X15" i="1"/>
  <c r="L14" i="1"/>
  <c r="L16" i="1"/>
  <c r="R15" i="1"/>
  <c r="R18" i="1"/>
  <c r="R23" i="1"/>
  <c r="R22" i="1"/>
  <c r="R20" i="1"/>
  <c r="R19" i="1"/>
  <c r="X22" i="1"/>
  <c r="X21" i="1"/>
  <c r="AD15" i="1"/>
  <c r="AD17" i="1"/>
  <c r="AD16" i="1"/>
  <c r="AJ19" i="1"/>
  <c r="AJ18" i="1"/>
  <c r="AH36" i="1"/>
  <c r="AJ36" i="1" s="1"/>
  <c r="AH33" i="1"/>
  <c r="AJ33" i="1" s="1"/>
  <c r="AH32" i="1"/>
  <c r="AJ32" i="1" s="1"/>
  <c r="AH22" i="1"/>
  <c r="AJ22" i="1" s="1"/>
  <c r="AH29" i="1" l="1"/>
  <c r="AJ29" i="1" s="1"/>
  <c r="AH28" i="1"/>
  <c r="AJ28" i="1" s="1"/>
  <c r="D36" i="1"/>
  <c r="F36" i="1" s="1"/>
  <c r="D34" i="1"/>
  <c r="F34" i="1" s="1"/>
  <c r="AB24" i="1"/>
  <c r="AD24" i="1" s="1"/>
  <c r="AB18" i="1"/>
  <c r="AD18" i="1" s="1"/>
  <c r="D16" i="1"/>
  <c r="F16" i="1" s="1"/>
  <c r="P14" i="1" l="1"/>
  <c r="R14" i="1" s="1"/>
  <c r="AH24" i="1"/>
  <c r="AJ24" i="1" s="1"/>
  <c r="D32" i="1" l="1"/>
  <c r="F32" i="1" s="1"/>
  <c r="D25" i="1"/>
  <c r="F25" i="1" s="1"/>
  <c r="D22" i="1"/>
  <c r="F22" i="1" s="1"/>
  <c r="D17" i="1"/>
  <c r="F17" i="1" s="1"/>
  <c r="D31" i="1"/>
  <c r="F31" i="1" s="1"/>
  <c r="V23" i="1"/>
  <c r="X23" i="1" s="1"/>
  <c r="V19" i="1"/>
  <c r="X19" i="1" s="1"/>
  <c r="D29" i="1" l="1"/>
  <c r="F29" i="1" s="1"/>
  <c r="D26" i="1"/>
  <c r="F26" i="1" s="1"/>
  <c r="D23" i="1"/>
  <c r="F23" i="1" s="1"/>
  <c r="V18" i="1" l="1"/>
  <c r="X18" i="1" s="1"/>
  <c r="D30" i="1" l="1"/>
  <c r="F30" i="1" s="1"/>
  <c r="F33" i="2" l="1"/>
  <c r="E33" i="2"/>
  <c r="AK8" i="1" s="1"/>
  <c r="D33" i="2"/>
  <c r="Y8" i="1" s="1"/>
  <c r="C33" i="2"/>
  <c r="S8" i="1" s="1"/>
  <c r="B33" i="2"/>
  <c r="A33" i="2"/>
  <c r="G8" i="1" s="1"/>
  <c r="AK9" i="1" l="1"/>
  <c r="AE8" i="1"/>
  <c r="AK10" i="1"/>
  <c r="AK11" i="1"/>
  <c r="AE9" i="1"/>
  <c r="AE10" i="1"/>
  <c r="AE11" i="1"/>
  <c r="Y9" i="1"/>
  <c r="Y10" i="1"/>
  <c r="Y11" i="1"/>
  <c r="S10" i="1"/>
  <c r="S11" i="1"/>
  <c r="C37" i="1"/>
  <c r="G37" i="1" s="1"/>
  <c r="S9" i="1"/>
  <c r="G9" i="1"/>
  <c r="G10" i="1"/>
  <c r="G11" i="1"/>
  <c r="M8" i="1"/>
  <c r="M9" i="1" s="1"/>
  <c r="AF6" i="1"/>
  <c r="AN4" i="1"/>
  <c r="AF5" i="1"/>
  <c r="AA24" i="1"/>
  <c r="AE24" i="1" s="1"/>
  <c r="M10" i="1" l="1"/>
  <c r="M11" i="1"/>
  <c r="C39" i="1"/>
  <c r="G39" i="1" s="1"/>
  <c r="C14" i="1"/>
  <c r="AA21" i="1"/>
  <c r="AE21" i="1" s="1"/>
  <c r="AN9" i="1"/>
  <c r="AN6" i="1"/>
  <c r="AN5" i="1"/>
  <c r="AN11" i="1"/>
  <c r="U20" i="1"/>
  <c r="Y20" i="1" s="1"/>
  <c r="AA23" i="1"/>
  <c r="AE23" i="1" s="1"/>
  <c r="AN7" i="1" l="1"/>
  <c r="AN10" i="1"/>
  <c r="AF4" i="1"/>
  <c r="AN8" i="1"/>
  <c r="AG25" i="1"/>
  <c r="AH25" i="1" s="1"/>
  <c r="AG26" i="1"/>
  <c r="AG27" i="1"/>
  <c r="AG28" i="1"/>
  <c r="AG29" i="1"/>
  <c r="AG15" i="1"/>
  <c r="AG16" i="1"/>
  <c r="AG17" i="1"/>
  <c r="AG18" i="1"/>
  <c r="U23" i="1"/>
  <c r="Y23" i="1" s="1"/>
  <c r="AG14" i="1"/>
  <c r="AK14" i="1" s="1"/>
  <c r="U14" i="1"/>
  <c r="Y14" i="1" s="1"/>
  <c r="O17" i="1"/>
  <c r="P17" i="1" s="1"/>
  <c r="O18" i="1"/>
  <c r="O19" i="1"/>
  <c r="O20" i="1"/>
  <c r="O22" i="1"/>
  <c r="S22" i="1" s="1"/>
  <c r="O23" i="1"/>
  <c r="S23" i="1" s="1"/>
  <c r="I17" i="1"/>
  <c r="M17" i="1" s="1"/>
  <c r="C38" i="1"/>
  <c r="G38" i="1" s="1"/>
  <c r="C40" i="1"/>
  <c r="G40" i="1" s="1"/>
  <c r="C21" i="1"/>
  <c r="D21" i="1" s="1"/>
  <c r="C22" i="1"/>
  <c r="C23" i="1"/>
  <c r="C24" i="1"/>
  <c r="C25" i="1"/>
  <c r="C26" i="1"/>
  <c r="D14" i="1"/>
  <c r="C15" i="1"/>
  <c r="C16" i="1"/>
  <c r="C17" i="1"/>
  <c r="C18" i="1"/>
  <c r="C19" i="1"/>
  <c r="C20" i="1"/>
  <c r="AG30" i="1"/>
  <c r="AK30" i="1" s="1"/>
  <c r="O21" i="1"/>
  <c r="S21" i="1" s="1"/>
  <c r="AH15" i="1" l="1"/>
  <c r="AK15" i="1" s="1"/>
  <c r="AK16" i="1" s="1"/>
  <c r="AK25" i="1"/>
  <c r="AK26" i="1" s="1"/>
  <c r="S17" i="1"/>
  <c r="S18" i="1" s="1"/>
  <c r="G14" i="1"/>
  <c r="G15" i="1" s="1"/>
  <c r="AG24" i="1"/>
  <c r="I20" i="1"/>
  <c r="M20" i="1" s="1"/>
  <c r="AG31" i="1"/>
  <c r="AH31" i="1" s="1"/>
  <c r="AG32" i="1"/>
  <c r="AG33" i="1"/>
  <c r="AG34" i="1"/>
  <c r="AG35" i="1"/>
  <c r="AG36" i="1"/>
  <c r="AG20" i="1"/>
  <c r="AH20" i="1" s="1"/>
  <c r="AG21" i="1"/>
  <c r="AG22" i="1"/>
  <c r="AG23" i="1"/>
  <c r="C36" i="1"/>
  <c r="AG19" i="1"/>
  <c r="AK19" i="1" s="1"/>
  <c r="AA20" i="1"/>
  <c r="AE20" i="1" s="1"/>
  <c r="AA22" i="1"/>
  <c r="AE22" i="1" s="1"/>
  <c r="AA18" i="1"/>
  <c r="U18" i="1"/>
  <c r="Y18" i="1" s="1"/>
  <c r="AA19" i="1"/>
  <c r="AE19" i="1" s="1"/>
  <c r="AA15" i="1"/>
  <c r="AA16" i="1"/>
  <c r="AA17" i="1"/>
  <c r="AA14" i="1"/>
  <c r="AB14" i="1" s="1"/>
  <c r="U21" i="1"/>
  <c r="Y21" i="1" s="1"/>
  <c r="U22" i="1"/>
  <c r="Y22" i="1" s="1"/>
  <c r="U19" i="1"/>
  <c r="Y19" i="1" s="1"/>
  <c r="U15" i="1"/>
  <c r="Y15" i="1" s="1"/>
  <c r="U16" i="1"/>
  <c r="Y16" i="1" s="1"/>
  <c r="U17" i="1"/>
  <c r="Y17" i="1" s="1"/>
  <c r="O15" i="1"/>
  <c r="S15" i="1" s="1"/>
  <c r="O16" i="1"/>
  <c r="S16" i="1" s="1"/>
  <c r="I19" i="1"/>
  <c r="M19" i="1" s="1"/>
  <c r="O14" i="1"/>
  <c r="S14" i="1" s="1"/>
  <c r="I16" i="1"/>
  <c r="M16" i="1" s="1"/>
  <c r="I18" i="1"/>
  <c r="M18" i="1" s="1"/>
  <c r="I15" i="1"/>
  <c r="M15" i="1" s="1"/>
  <c r="I14" i="1"/>
  <c r="M14" i="1" s="1"/>
  <c r="C33" i="1"/>
  <c r="D33" i="1" s="1"/>
  <c r="C34" i="1"/>
  <c r="C35" i="1"/>
  <c r="C27" i="1"/>
  <c r="C28" i="1"/>
  <c r="C29" i="1"/>
  <c r="C30" i="1"/>
  <c r="C31" i="1"/>
  <c r="C32" i="1"/>
  <c r="AK27" i="1" l="1"/>
  <c r="AK28" i="1"/>
  <c r="AK29" i="1"/>
  <c r="AK17" i="1"/>
  <c r="AK18" i="1"/>
  <c r="S19" i="1"/>
  <c r="S20" i="1"/>
  <c r="G16" i="1"/>
  <c r="G17" i="1"/>
  <c r="G18" i="1"/>
  <c r="G19" i="1"/>
  <c r="G20" i="1"/>
  <c r="D27" i="1"/>
  <c r="G27" i="1" s="1"/>
  <c r="G28" i="1" s="1"/>
  <c r="AK20" i="1"/>
  <c r="AK21" i="1" s="1"/>
  <c r="AK31" i="1"/>
  <c r="AK32" i="1" s="1"/>
  <c r="G21" i="1"/>
  <c r="G33" i="1"/>
  <c r="G34" i="1" s="1"/>
  <c r="AE14" i="1"/>
  <c r="AK33" i="1" l="1"/>
  <c r="AK34" i="1"/>
  <c r="AK35" i="1"/>
  <c r="AK36" i="1"/>
  <c r="AK24" i="1"/>
  <c r="AK22" i="1"/>
  <c r="AK23" i="1"/>
  <c r="AE15" i="1"/>
  <c r="AE18" i="1"/>
  <c r="AE16" i="1"/>
  <c r="AE17" i="1"/>
  <c r="G36" i="1"/>
  <c r="G35" i="1"/>
  <c r="G29" i="1"/>
  <c r="G30" i="1"/>
  <c r="G31" i="1"/>
  <c r="G32" i="1"/>
  <c r="G22" i="1"/>
  <c r="G26" i="1"/>
  <c r="G25" i="1"/>
  <c r="G24" i="1"/>
  <c r="G23" i="1"/>
</calcChain>
</file>

<file path=xl/sharedStrings.xml><?xml version="1.0" encoding="utf-8"?>
<sst xmlns="http://schemas.openxmlformats.org/spreadsheetml/2006/main" count="1098" uniqueCount="548">
  <si>
    <t>CUERPO</t>
  </si>
  <si>
    <t>DESTREZA</t>
  </si>
  <si>
    <t>INTELIGENCIA</t>
  </si>
  <si>
    <t>PRESENCIA</t>
  </si>
  <si>
    <t>INSTINTO</t>
  </si>
  <si>
    <t>PSI</t>
  </si>
  <si>
    <t>FUErza</t>
  </si>
  <si>
    <t>VITalidad</t>
  </si>
  <si>
    <t>RESistencia</t>
  </si>
  <si>
    <t>AGIlidad</t>
  </si>
  <si>
    <t>VELocidad</t>
  </si>
  <si>
    <t>COOrdinación</t>
  </si>
  <si>
    <t>MEMoria</t>
  </si>
  <si>
    <t>LÓGica</t>
  </si>
  <si>
    <t>INVentiva</t>
  </si>
  <si>
    <t>CARisma</t>
  </si>
  <si>
    <t>VOLuntad</t>
  </si>
  <si>
    <t>APAriencia</t>
  </si>
  <si>
    <t>PERcepción</t>
  </si>
  <si>
    <t>INTuición</t>
  </si>
  <si>
    <t>CONcentración</t>
  </si>
  <si>
    <t>POTencia</t>
  </si>
  <si>
    <t>SENtido</t>
  </si>
  <si>
    <t>ÍMPetu</t>
  </si>
  <si>
    <t>ACADEMICAS</t>
  </si>
  <si>
    <t>Con. académico</t>
  </si>
  <si>
    <t>Cultura</t>
  </si>
  <si>
    <t>Doctrinas</t>
  </si>
  <si>
    <t>Historia</t>
  </si>
  <si>
    <t>Legislación</t>
  </si>
  <si>
    <t>Sociología</t>
  </si>
  <si>
    <t>Xenología</t>
  </si>
  <si>
    <t>Con. Científico</t>
  </si>
  <si>
    <t>Bioquímica</t>
  </si>
  <si>
    <t>Botánica</t>
  </si>
  <si>
    <t>C. Planetarias</t>
  </si>
  <si>
    <t>Toxicología</t>
  </si>
  <si>
    <t>Zoología</t>
  </si>
  <si>
    <t>Con. Técnico</t>
  </si>
  <si>
    <t>Astrografía</t>
  </si>
  <si>
    <t>Estructuras</t>
  </si>
  <si>
    <t>Física</t>
  </si>
  <si>
    <t>Matemáticas</t>
  </si>
  <si>
    <t>Química</t>
  </si>
  <si>
    <t>Con. Militar</t>
  </si>
  <si>
    <t>Logística</t>
  </si>
  <si>
    <t>Ordenanzas</t>
  </si>
  <si>
    <t>Táctica</t>
  </si>
  <si>
    <t>Lenguaje</t>
  </si>
  <si>
    <t>Medicina</t>
  </si>
  <si>
    <t>ATLÉTICAS</t>
  </si>
  <si>
    <t>Correr</t>
  </si>
  <si>
    <t>Escalar</t>
  </si>
  <si>
    <t>G 0</t>
  </si>
  <si>
    <t>Lanzar</t>
  </si>
  <si>
    <t>Nadar</t>
  </si>
  <si>
    <t>Saltar</t>
  </si>
  <si>
    <t>Sigilo</t>
  </si>
  <si>
    <t>Rifle</t>
  </si>
  <si>
    <t>OFENSIVAS</t>
  </si>
  <si>
    <t>Armas Arrojadizas</t>
  </si>
  <si>
    <t>Armas Blancas</t>
  </si>
  <si>
    <t>Armas Contundentes</t>
  </si>
  <si>
    <t>Armas de Apoyo</t>
  </si>
  <si>
    <t>Cañones</t>
  </si>
  <si>
    <t>Lanzacohetes</t>
  </si>
  <si>
    <t>Proyectores</t>
  </si>
  <si>
    <t>Pelea</t>
  </si>
  <si>
    <t>Pistola</t>
  </si>
  <si>
    <t>SENSORIALES</t>
  </si>
  <si>
    <t>Robar</t>
  </si>
  <si>
    <t>Buscar datos</t>
  </si>
  <si>
    <t>Camuflaje</t>
  </si>
  <si>
    <t>Disfraz</t>
  </si>
  <si>
    <t>Esconderse</t>
  </si>
  <si>
    <t>Evaluar</t>
  </si>
  <si>
    <t>Falsificación</t>
  </si>
  <si>
    <t>Observación</t>
  </si>
  <si>
    <t>Ocultar</t>
  </si>
  <si>
    <t>Orientación</t>
  </si>
  <si>
    <t>SOCIALES</t>
  </si>
  <si>
    <t>Artes escénicas</t>
  </si>
  <si>
    <t>Danzar</t>
  </si>
  <si>
    <t>Interpretar</t>
  </si>
  <si>
    <t>Tocar instrumento</t>
  </si>
  <si>
    <t>Voz</t>
  </si>
  <si>
    <t>Callejeo</t>
  </si>
  <si>
    <t>Dialéctica</t>
  </si>
  <si>
    <t>Interrogación</t>
  </si>
  <si>
    <t>Mando</t>
  </si>
  <si>
    <t>Protocolo</t>
  </si>
  <si>
    <t>Seducción</t>
  </si>
  <si>
    <t>TÉCNICAS</t>
  </si>
  <si>
    <t>Cerraduras</t>
  </si>
  <si>
    <t>Conducir</t>
  </si>
  <si>
    <t>Aéreos</t>
  </si>
  <si>
    <t>Marítimos</t>
  </si>
  <si>
    <t>Terrestres</t>
  </si>
  <si>
    <t>Demoliciones</t>
  </si>
  <si>
    <t>Operador</t>
  </si>
  <si>
    <t>Armamento</t>
  </si>
  <si>
    <t>Impulsores</t>
  </si>
  <si>
    <t>Sensores</t>
  </si>
  <si>
    <t>Sistemas auxiliares</t>
  </si>
  <si>
    <t>Pilotar</t>
  </si>
  <si>
    <t>Atmosféricas</t>
  </si>
  <si>
    <t>Pequeñas</t>
  </si>
  <si>
    <t>Medianas</t>
  </si>
  <si>
    <t>Pesadas</t>
  </si>
  <si>
    <t>Primeros Auxilios</t>
  </si>
  <si>
    <t>Técnico</t>
  </si>
  <si>
    <t>Robótica</t>
  </si>
  <si>
    <t>Alerta</t>
  </si>
  <si>
    <t>Ajuste por Fuerza</t>
  </si>
  <si>
    <t>Esquivar</t>
  </si>
  <si>
    <t>Iniciativa</t>
  </si>
  <si>
    <t>Carga</t>
  </si>
  <si>
    <t>Resistir Dolor</t>
  </si>
  <si>
    <t>Respiración</t>
  </si>
  <si>
    <t>Umbral Mortal</t>
  </si>
  <si>
    <t>Tabla de características según especie</t>
  </si>
  <si>
    <t>Especie</t>
  </si>
  <si>
    <t>CUE</t>
  </si>
  <si>
    <t>DES</t>
  </si>
  <si>
    <t>INT</t>
  </si>
  <si>
    <t>PRE</t>
  </si>
  <si>
    <t>INS</t>
  </si>
  <si>
    <t>F+3</t>
  </si>
  <si>
    <t>I+3</t>
  </si>
  <si>
    <t>F+6</t>
  </si>
  <si>
    <t>H+5</t>
  </si>
  <si>
    <t>A</t>
  </si>
  <si>
    <t>Aioll</t>
  </si>
  <si>
    <t>F+4</t>
  </si>
  <si>
    <t>L+6</t>
  </si>
  <si>
    <t>Boron</t>
  </si>
  <si>
    <t>L+2</t>
  </si>
  <si>
    <t>L+4</t>
  </si>
  <si>
    <t>K+5</t>
  </si>
  <si>
    <t>K+4</t>
  </si>
  <si>
    <t>M+3</t>
  </si>
  <si>
    <t>J+2</t>
  </si>
  <si>
    <t>N+3</t>
  </si>
  <si>
    <t>H+1</t>
  </si>
  <si>
    <t>Crelin</t>
  </si>
  <si>
    <t>T+4</t>
  </si>
  <si>
    <t>K+2</t>
  </si>
  <si>
    <t>T+2</t>
  </si>
  <si>
    <t>Cromter</t>
  </si>
  <si>
    <t>R+2</t>
  </si>
  <si>
    <t>M+4</t>
  </si>
  <si>
    <t>N+2</t>
  </si>
  <si>
    <t>Docte</t>
  </si>
  <si>
    <t>J+3</t>
  </si>
  <si>
    <t>G+2</t>
  </si>
  <si>
    <t>Eisil</t>
  </si>
  <si>
    <t>S+2</t>
  </si>
  <si>
    <t>Erow</t>
  </si>
  <si>
    <t>F+2</t>
  </si>
  <si>
    <t>G+3</t>
  </si>
  <si>
    <t>D+3</t>
  </si>
  <si>
    <t>N+5</t>
  </si>
  <si>
    <t>J+5</t>
  </si>
  <si>
    <t>J+4</t>
  </si>
  <si>
    <t>E+3</t>
  </si>
  <si>
    <t>E+2</t>
  </si>
  <si>
    <t>Graochinek</t>
  </si>
  <si>
    <t>R+1</t>
  </si>
  <si>
    <t>E+4</t>
  </si>
  <si>
    <t>K+3</t>
  </si>
  <si>
    <t>G+4</t>
  </si>
  <si>
    <t>M+5</t>
  </si>
  <si>
    <t>L+3</t>
  </si>
  <si>
    <t>P+4</t>
  </si>
  <si>
    <t>B</t>
  </si>
  <si>
    <t>Ielserkaren</t>
  </si>
  <si>
    <t>H+6</t>
  </si>
  <si>
    <t>K+6</t>
  </si>
  <si>
    <t>N+4</t>
  </si>
  <si>
    <t>Jional</t>
  </si>
  <si>
    <t>P+1</t>
  </si>
  <si>
    <t>Kauri</t>
  </si>
  <si>
    <t>M+7</t>
  </si>
  <si>
    <t>L+7</t>
  </si>
  <si>
    <t>E+1</t>
  </si>
  <si>
    <t>Lixnel</t>
  </si>
  <si>
    <t>Marbagan</t>
  </si>
  <si>
    <t>E</t>
  </si>
  <si>
    <t>Mibu</t>
  </si>
  <si>
    <t>D+1</t>
  </si>
  <si>
    <t>I+4</t>
  </si>
  <si>
    <t>M+6</t>
  </si>
  <si>
    <t>I+5</t>
  </si>
  <si>
    <t>F+5</t>
  </si>
  <si>
    <t>C+3</t>
  </si>
  <si>
    <t>Qatar</t>
  </si>
  <si>
    <t>H+4</t>
  </si>
  <si>
    <t>D</t>
  </si>
  <si>
    <t>Sheller</t>
  </si>
  <si>
    <t>J+1</t>
  </si>
  <si>
    <t>V+4</t>
  </si>
  <si>
    <t>F+1</t>
  </si>
  <si>
    <t>I+6</t>
  </si>
  <si>
    <t>V+3</t>
  </si>
  <si>
    <t>Wu</t>
  </si>
  <si>
    <t>I+7</t>
  </si>
  <si>
    <t>I+1</t>
  </si>
  <si>
    <t>Xenfer</t>
  </si>
  <si>
    <t>Yemer</t>
  </si>
  <si>
    <t>Yrr</t>
  </si>
  <si>
    <t>T+3</t>
  </si>
  <si>
    <t>A+2</t>
  </si>
  <si>
    <t>Abrita</t>
  </si>
  <si>
    <t>Cererio</t>
  </si>
  <si>
    <t>Fremio</t>
  </si>
  <si>
    <t>Heriano</t>
  </si>
  <si>
    <t>Humano</t>
  </si>
  <si>
    <t>Kileiro</t>
  </si>
  <si>
    <t>Nitilo</t>
  </si>
  <si>
    <t>Ogni</t>
  </si>
  <si>
    <t>Oliero</t>
  </si>
  <si>
    <t>Orbitra</t>
  </si>
  <si>
    <t>Silvano</t>
  </si>
  <si>
    <t>Ukaro</t>
  </si>
  <si>
    <t>Veddio</t>
  </si>
  <si>
    <t>Verriano</t>
  </si>
  <si>
    <t>Tyrano</t>
  </si>
  <si>
    <t>C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</si>
  <si>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</si>
  <si>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</si>
  <si>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</si>
  <si>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</si>
  <si>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</si>
  <si>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</si>
  <si>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</si>
  <si>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</si>
  <si>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</si>
  <si>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</si>
  <si>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</si>
  <si>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</si>
  <si>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</si>
  <si>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</si>
  <si>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Agente</t>
  </si>
  <si>
    <t>Camorrista</t>
  </si>
  <si>
    <t>Cazarrecompensas</t>
  </si>
  <si>
    <t>Científico</t>
  </si>
  <si>
    <t>Comerciante</t>
  </si>
  <si>
    <t>Conductor</t>
  </si>
  <si>
    <t>Deportista</t>
  </si>
  <si>
    <t>Diletante</t>
  </si>
  <si>
    <t>Estafador</t>
  </si>
  <si>
    <t>Explorador</t>
  </si>
  <si>
    <t>Hacker</t>
  </si>
  <si>
    <t>Ilustrado</t>
  </si>
  <si>
    <t>Médico</t>
  </si>
  <si>
    <t>Mercante</t>
  </si>
  <si>
    <t>Miliciano</t>
  </si>
  <si>
    <t>Misionero</t>
  </si>
  <si>
    <t>Oficial militar</t>
  </si>
  <si>
    <t>Piloto de combate</t>
  </si>
  <si>
    <t>Político</t>
  </si>
  <si>
    <t>Prospector</t>
  </si>
  <si>
    <t>Reportero gráfico</t>
  </si>
  <si>
    <t>Seguridad</t>
  </si>
  <si>
    <t>Soldado</t>
  </si>
  <si>
    <t>Tecno</t>
  </si>
  <si>
    <t>Iroiendi</t>
  </si>
  <si>
    <t>D+2</t>
  </si>
  <si>
    <t>H+3</t>
  </si>
  <si>
    <t>Zelonita</t>
  </si>
  <si>
    <t>Gravedad</t>
  </si>
  <si>
    <t>Radiación</t>
  </si>
  <si>
    <t>Tecnología</t>
  </si>
  <si>
    <t>FACTORES PLANETARIOS</t>
  </si>
  <si>
    <t>+</t>
  </si>
  <si>
    <t>=</t>
  </si>
  <si>
    <t>-</t>
  </si>
  <si>
    <t>Atr.</t>
  </si>
  <si>
    <t>Nivel</t>
  </si>
  <si>
    <t>Total</t>
  </si>
  <si>
    <t>Lengua natal</t>
  </si>
  <si>
    <t>Lenguaje (idioma)</t>
  </si>
  <si>
    <t>CUALIFICACIÓN</t>
  </si>
  <si>
    <t>Novato</t>
  </si>
  <si>
    <t>Veterano</t>
  </si>
  <si>
    <t>Experto</t>
  </si>
  <si>
    <t>Élite</t>
  </si>
  <si>
    <t xml:space="preserve"> </t>
  </si>
  <si>
    <t>Cua.</t>
  </si>
  <si>
    <t>Nombre</t>
  </si>
  <si>
    <t>Ocupación</t>
  </si>
  <si>
    <t>Cualificación</t>
  </si>
  <si>
    <t>Bono</t>
  </si>
  <si>
    <t>Equipo</t>
  </si>
  <si>
    <t>Ninguna</t>
  </si>
  <si>
    <t>Ptos Psi</t>
  </si>
  <si>
    <t>Ptos de Vida</t>
  </si>
  <si>
    <t>Ptos de Mente</t>
  </si>
  <si>
    <t>u</t>
  </si>
  <si>
    <t>Ágil</t>
  </si>
  <si>
    <t>Virtud</t>
  </si>
  <si>
    <t>Adinerado</t>
  </si>
  <si>
    <t>Ambidiestro</t>
  </si>
  <si>
    <t>Anticipado</t>
  </si>
  <si>
    <t>Aprender de los errores</t>
  </si>
  <si>
    <t>Aptitud matemática</t>
  </si>
  <si>
    <t>Aptitud musical</t>
  </si>
  <si>
    <t>Atemorizador</t>
  </si>
  <si>
    <t>Autodidacta</t>
  </si>
  <si>
    <t>Calculadora mental</t>
  </si>
  <si>
    <t>Carismático</t>
  </si>
  <si>
    <t>Colonia perdida</t>
  </si>
  <si>
    <t>Concentrado</t>
  </si>
  <si>
    <t>Contactos</t>
  </si>
  <si>
    <t>Coordinación extrema</t>
  </si>
  <si>
    <t>Coordinado</t>
  </si>
  <si>
    <t>Destreza psi</t>
  </si>
  <si>
    <t>Difícil de matar</t>
  </si>
  <si>
    <t>Don de lenguas</t>
  </si>
  <si>
    <t>Duro</t>
  </si>
  <si>
    <t>Duro de matar</t>
  </si>
  <si>
    <t>Equilibrado</t>
  </si>
  <si>
    <t>Fuerte</t>
  </si>
  <si>
    <t>Hijo de piloto</t>
  </si>
  <si>
    <t>Hijo de taxista</t>
  </si>
  <si>
    <t>Hijo de tecno</t>
  </si>
  <si>
    <t>Hijo espacial</t>
  </si>
  <si>
    <t>Ingenioso</t>
  </si>
  <si>
    <t>Inmune a la psiónica</t>
  </si>
  <si>
    <t>Inmunidad</t>
  </si>
  <si>
    <t>Instrucción militar</t>
  </si>
  <si>
    <t>Intuitivo</t>
  </si>
  <si>
    <t>Letrado</t>
  </si>
  <si>
    <t>Lógico</t>
  </si>
  <si>
    <t>Longevidad</t>
  </si>
  <si>
    <t>Maestro</t>
  </si>
  <si>
    <t>Marrullero</t>
  </si>
  <si>
    <t>Memoria fotográfica</t>
  </si>
  <si>
    <t>Orientación GO</t>
  </si>
  <si>
    <t>Percepción del peligro</t>
  </si>
  <si>
    <t>Perceptivo</t>
  </si>
  <si>
    <t>Potencial psi</t>
  </si>
  <si>
    <t>Psi natural</t>
  </si>
  <si>
    <t>Rango</t>
  </si>
  <si>
    <t>Reflejos de combate</t>
  </si>
  <si>
    <t>Reputación</t>
  </si>
  <si>
    <t>Resistencia al dolor</t>
  </si>
  <si>
    <t>Resistencia psíquica</t>
  </si>
  <si>
    <t>Resistente</t>
  </si>
  <si>
    <t>Retentivo</t>
  </si>
  <si>
    <t>Saludable</t>
  </si>
  <si>
    <t>Seductor</t>
  </si>
  <si>
    <t>Sensitivo</t>
  </si>
  <si>
    <t>Sentido de la orientación</t>
  </si>
  <si>
    <t>Sentido del tiempo</t>
  </si>
  <si>
    <t>Suerte</t>
  </si>
  <si>
    <t>Veloz</t>
  </si>
  <si>
    <t>Visión nocturna</t>
  </si>
  <si>
    <t>Vital</t>
  </si>
  <si>
    <t>Voluntad de hierro</t>
  </si>
  <si>
    <t>Voluntarioso</t>
  </si>
  <si>
    <t>Nada especial</t>
  </si>
  <si>
    <t>Defecto</t>
  </si>
  <si>
    <t>Mala reputación</t>
  </si>
  <si>
    <t>Crédulo</t>
  </si>
  <si>
    <t>Tartamudo</t>
  </si>
  <si>
    <t>Xenoxersa</t>
  </si>
  <si>
    <t>Criminal buscado</t>
  </si>
  <si>
    <t>Ludópata</t>
  </si>
  <si>
    <t>Tacaño</t>
  </si>
  <si>
    <t>Vértigo</t>
  </si>
  <si>
    <t>Gafe</t>
  </si>
  <si>
    <t>Feo</t>
  </si>
  <si>
    <t>Hematofobia</t>
  </si>
  <si>
    <t>Sueño profundo</t>
  </si>
  <si>
    <t>Deudas</t>
  </si>
  <si>
    <t>Daltónico</t>
  </si>
  <si>
    <t>Cleptómano</t>
  </si>
  <si>
    <t>Trauma mayor</t>
  </si>
  <si>
    <t>Alergia común</t>
  </si>
  <si>
    <t>Sensible frío/calor</t>
  </si>
  <si>
    <t>Libertino</t>
  </si>
  <si>
    <t>Ruidoso</t>
  </si>
  <si>
    <t>Distraido</t>
  </si>
  <si>
    <t>Marcado</t>
  </si>
  <si>
    <t>Sádico</t>
  </si>
  <si>
    <t>Lento</t>
  </si>
  <si>
    <t>Blando</t>
  </si>
  <si>
    <t>Electricidad estática</t>
  </si>
  <si>
    <t>Hemofilia</t>
  </si>
  <si>
    <t>Convulsiones</t>
  </si>
  <si>
    <t>Amigo dependiente</t>
  </si>
  <si>
    <t>Albino</t>
  </si>
  <si>
    <t>Enano</t>
  </si>
  <si>
    <t>Defecto equilibrio</t>
  </si>
  <si>
    <t>Doble personalidad</t>
  </si>
  <si>
    <t>Huérfano</t>
  </si>
  <si>
    <t>Cobarde</t>
  </si>
  <si>
    <t>Supersticioso</t>
  </si>
  <si>
    <t>Indeciso</t>
  </si>
  <si>
    <t>Paranoia</t>
  </si>
  <si>
    <t>Pobre</t>
  </si>
  <si>
    <t>Megalómano</t>
  </si>
  <si>
    <t>Código de honor</t>
  </si>
  <si>
    <t>Enemigo poderoso</t>
  </si>
  <si>
    <t>Temperamento psicótico</t>
  </si>
  <si>
    <t>Fobia</t>
  </si>
  <si>
    <t>Alucinaciones</t>
  </si>
  <si>
    <t>Exagerado</t>
  </si>
  <si>
    <t>Desconocimiento social</t>
  </si>
  <si>
    <t>Sensible a los estimulantes</t>
  </si>
  <si>
    <t>Nauseas</t>
  </si>
  <si>
    <t>Adicción a una sustancia</t>
  </si>
  <si>
    <t>Sensible al dolor</t>
  </si>
  <si>
    <t>Ilógico</t>
  </si>
  <si>
    <t>Amnésico</t>
  </si>
  <si>
    <t>Débil</t>
  </si>
  <si>
    <t>Honesto</t>
  </si>
  <si>
    <t>Torpe</t>
  </si>
  <si>
    <t>Analfabeto informático</t>
  </si>
  <si>
    <t>Insociable</t>
  </si>
  <si>
    <t>Dormilón</t>
  </si>
  <si>
    <t>Curación lenta</t>
  </si>
  <si>
    <t>Sentimiento de culpabilidad</t>
  </si>
  <si>
    <t>Nervioso</t>
  </si>
  <si>
    <t>Falta de oído</t>
  </si>
  <si>
    <t>La maldición de Venus</t>
  </si>
  <si>
    <t>Mutilado</t>
  </si>
  <si>
    <t>Voluntad psíquica débil</t>
  </si>
  <si>
    <t>Defectos</t>
  </si>
  <si>
    <t>Virtudes y defectos</t>
  </si>
  <si>
    <t>Pág.</t>
  </si>
  <si>
    <t>Conexión GWW</t>
  </si>
  <si>
    <t>Saltador</t>
  </si>
  <si>
    <t>Micrófono direccional</t>
  </si>
  <si>
    <t>Pistola 2102-GR</t>
  </si>
  <si>
    <t>Mira láser</t>
  </si>
  <si>
    <t>Kit de primeros auxilios</t>
  </si>
  <si>
    <t>Hipoinyector</t>
  </si>
  <si>
    <t>Vibrofilo</t>
  </si>
  <si>
    <t>Esposas</t>
  </si>
  <si>
    <t>Lanza térmica</t>
  </si>
  <si>
    <t> Lentillas visión nocturna</t>
  </si>
  <si>
    <t>Herramientas básicas</t>
  </si>
  <si>
    <t>Cinturón multipropósito</t>
  </si>
  <si>
    <t>Cámara CR</t>
  </si>
  <si>
    <t>Sensor de radiactividad</t>
  </si>
  <si>
    <t>Sensor de energía</t>
  </si>
  <si>
    <t>Sensor planetario</t>
  </si>
  <si>
    <t>Ordenador portátil</t>
  </si>
  <si>
    <t>Pantalla de datos</t>
  </si>
  <si>
    <t>Cifrador</t>
  </si>
  <si>
    <t>Inhibidor de frecuencias</t>
  </si>
  <si>
    <t>Casco (acero elástico)</t>
  </si>
  <si>
    <t>Consola</t>
  </si>
  <si>
    <t>Libro electrónico</t>
  </si>
  <si>
    <t>Comunicador subvocal CV-1000</t>
  </si>
  <si>
    <t>Dataóptico estándar</t>
  </si>
  <si>
    <t>Poncho impermeable</t>
  </si>
  <si>
    <t>Respirador</t>
  </si>
  <si>
    <t>Dataóptico profesional</t>
  </si>
  <si>
    <t>Táctor</t>
  </si>
  <si>
    <t>EQUIPO ADICIONAL</t>
  </si>
  <si>
    <t>- Biomonitor (Manual Exo, pág. 320): Peso 2,4 kg. Coste 350e.</t>
  </si>
  <si>
    <t>Analizador médico</t>
  </si>
  <si>
    <t>Vendas térmicas</t>
  </si>
  <si>
    <t>Traje de vacío</t>
  </si>
  <si>
    <t>Radio faro</t>
  </si>
  <si>
    <t>Cuchillo</t>
  </si>
  <si>
    <t>Modulador de voz</t>
  </si>
  <si>
    <t>Libro electrónico sagrado</t>
  </si>
  <si>
    <t>Sensor táctico</t>
  </si>
  <si>
    <t>Botas magnéticas</t>
  </si>
  <si>
    <t>Sensor de metales</t>
  </si>
  <si>
    <t>Sensor de seguridad</t>
  </si>
  <si>
    <t>Traje de G0</t>
  </si>
  <si>
    <t>Del-Fermer 12AZ</t>
  </si>
  <si>
    <t>Rifle Del-Fermer 12AZ</t>
  </si>
  <si>
    <t>Sensor técnico</t>
  </si>
  <si>
    <t>Dinero en metálico:</t>
  </si>
  <si>
    <t>Lentillas de colores</t>
  </si>
  <si>
    <t>Maquillaje</t>
  </si>
  <si>
    <t>Sensor de movimiento</t>
  </si>
  <si>
    <t>Sensor de radioactividad</t>
  </si>
  <si>
    <t>Sensor de vida</t>
  </si>
  <si>
    <t>Sensor médico</t>
  </si>
  <si>
    <t>Mira-3400</t>
  </si>
  <si>
    <t>2100-GR</t>
  </si>
  <si>
    <t>Mono (fibrosílex)</t>
  </si>
  <si>
    <t>Chaleco (fibrosílex)</t>
  </si>
  <si>
    <t>2102-GR</t>
  </si>
  <si>
    <t>Coraza (tevatrex)</t>
  </si>
  <si>
    <t>Casco (mon. duraluminio)</t>
  </si>
  <si>
    <t>Coraza (acero elástico)</t>
  </si>
  <si>
    <t>Peto (capa biostabilizadora)</t>
  </si>
  <si>
    <t>Coraza (capa bioestabilizadora)</t>
  </si>
  <si>
    <t>Porra</t>
  </si>
  <si>
    <t>Porra extensible</t>
  </si>
  <si>
    <t>Mira 3400</t>
  </si>
  <si>
    <t>Ash4</t>
  </si>
  <si>
    <t>Arnés multipropósito</t>
  </si>
  <si>
    <t>Aturdidor eléctrico</t>
  </si>
  <si>
    <t>Protector visual</t>
  </si>
  <si>
    <t>Tractor magnético</t>
  </si>
  <si>
    <t>CE-500</t>
  </si>
  <si>
    <t>CE-5</t>
  </si>
  <si>
    <t>CE-5K</t>
  </si>
  <si>
    <t>CA-5K</t>
  </si>
  <si>
    <t>CA-50</t>
  </si>
  <si>
    <t>Dataóptico mini</t>
  </si>
  <si>
    <t>CV-200</t>
  </si>
  <si>
    <t>Grabador audiovisual</t>
  </si>
  <si>
    <t>RSE-1000</t>
  </si>
  <si>
    <t>RSE-2000</t>
  </si>
  <si>
    <t>RSE-200</t>
  </si>
  <si>
    <t>Herramientas-G0</t>
  </si>
  <si>
    <t>Herramientas</t>
  </si>
  <si>
    <t>ML2</t>
  </si>
  <si>
    <t>ML3</t>
  </si>
  <si>
    <t>Originador</t>
  </si>
  <si>
    <t>Tecnoantorcha</t>
  </si>
  <si>
    <t>Activador neuronal</t>
  </si>
  <si>
    <t>Analizador</t>
  </si>
  <si>
    <t>Coagulante</t>
  </si>
  <si>
    <t>Kit 1º auxilios</t>
  </si>
  <si>
    <t>Maquillaje profesional</t>
  </si>
  <si>
    <t>Mono corporal (fibrosílex)</t>
  </si>
  <si>
    <t>Granadas lumínicas</t>
  </si>
  <si>
    <t>Lentillas visión nocturna</t>
  </si>
  <si>
    <t>Visor agudeza visual</t>
  </si>
  <si>
    <t>Visor infrarrojos</t>
  </si>
  <si>
    <t>Estación meteorológica</t>
  </si>
  <si>
    <t>Generador de oxígeno</t>
  </si>
  <si>
    <t>Raciones supervivencia</t>
  </si>
  <si>
    <t>Tienda campaña presurizada</t>
  </si>
  <si>
    <t>Mono (malla supracep.)</t>
  </si>
  <si>
    <t>Mono corporal (malla supracep.)</t>
  </si>
  <si>
    <t>Capacidades</t>
  </si>
  <si>
    <t>Imagen</t>
  </si>
  <si>
    <t>Cabeza</t>
  </si>
  <si>
    <t>Pecho</t>
  </si>
  <si>
    <t>Brazo D</t>
  </si>
  <si>
    <t>Brazo I</t>
  </si>
  <si>
    <t>Abdómen</t>
  </si>
  <si>
    <t>Pierna I</t>
  </si>
  <si>
    <t>Pierna D</t>
  </si>
  <si>
    <t>Arm.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</si>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</sst>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Calibri"/>
      <family val="2"/>
      <scheme val="minor"/>
    </font>
    <font>
      <sz val="12"/>
      <color theme="1"/>
      <name val="Berlin Sans FB"/>
      <family val="2"/>
    </font>
    <font>
      <b/>
      <sz val="16"/>
      <color theme="0"/>
      <name val="Berlin Sans FB"/>
      <family val="2"/>
    </font>
    <font>
      <b/>
      <sz val="13"/>
      <color theme="0"/>
      <name val="Berlin Sans FB"/>
      <family val="2"/>
    </font>
    <font>
      <sz val="13"/>
      <color theme="1"/>
      <name val="Berlin Sans FB"/>
      <family val="2"/>
    </font>
    <font>
      <i/>
      <sz val="13"/>
      <color theme="1"/>
      <name val="Berlin Sans FB"/>
      <family val="2"/>
    </font>
    <font>
      <u/>
      <sz val="13"/>
      <color theme="1"/>
      <name val="Berlin Sans FB"/>
      <family val="2"/>
    </font>
    <font>
      <i/>
      <u/>
      <sz val="13"/>
      <color theme="1"/>
      <name val="Berlin Sans FB"/>
      <family val="2"/>
    </font>
    <font>
      <sz val="16"/>
      <color theme="1"/>
      <name val="Berlin Sans FB"/>
      <family val="2"/>
    </font>
    <font>
      <sz val="16"/>
      <color theme="1"/>
      <name val="Wingdings 3"/>
      <family val="1"/>
      <charset val="2"/>
    </font>
    <font>
      <sz val="16"/>
      <color theme="1"/>
      <name val="Calibri"/>
      <family val="2"/>
      <scheme val="minor"/>
    </font>
    <font>
      <b/>
      <sz val="15"/>
      <color theme="0"/>
      <name val="Berlin Sans FB"/>
      <family val="2"/>
    </font>
    <font>
      <sz val="15"/>
      <color theme="1"/>
      <name val="Berlin Sans FB"/>
      <family val="2"/>
    </font>
    <font>
      <b/>
      <sz val="13"/>
      <color theme="1"/>
      <name val="Berlin Sans FB"/>
      <family val="2"/>
    </font>
    <font>
      <b/>
      <sz val="16"/>
      <color theme="1"/>
      <name val="Berlin Sans FB"/>
      <family val="2"/>
    </font>
    <font>
      <b/>
      <sz val="15"/>
      <name val="Berlin Sans FB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0" fontId="0" fillId="6" borderId="0" xfId="0" applyFill="1"/>
    <xf numFmtId="0" fontId="0" fillId="7" borderId="0" xfId="0" applyFill="1"/>
    <xf numFmtId="0" fontId="4" fillId="2" borderId="0" xfId="0" applyFont="1" applyFill="1"/>
    <xf numFmtId="0" fontId="0" fillId="0" borderId="0" xfId="0" applyFill="1"/>
    <xf numFmtId="0" fontId="19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6" fillId="4" borderId="10" xfId="0" applyFont="1" applyFill="1" applyBorder="1" applyAlignment="1" applyProtection="1">
      <alignment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2" fillId="0" borderId="16" xfId="0" applyFont="1" applyBorder="1"/>
    <xf numFmtId="0" fontId="9" fillId="0" borderId="16" xfId="0" applyFont="1" applyBorder="1"/>
    <xf numFmtId="0" fontId="20" fillId="4" borderId="18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0" fontId="16" fillId="0" borderId="35" xfId="0" applyFont="1" applyBorder="1" applyAlignment="1">
      <alignment vertical="center"/>
    </xf>
    <xf numFmtId="0" fontId="12" fillId="5" borderId="9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0" borderId="16" xfId="0" applyFont="1" applyBorder="1" applyAlignment="1">
      <alignment vertical="center"/>
    </xf>
    <xf numFmtId="0" fontId="12" fillId="5" borderId="1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vertical="center"/>
    </xf>
    <xf numFmtId="0" fontId="12" fillId="5" borderId="17" xfId="0" applyFont="1" applyFill="1" applyBorder="1" applyAlignment="1" applyProtection="1">
      <alignment vertical="center"/>
    </xf>
    <xf numFmtId="0" fontId="21" fillId="4" borderId="11" xfId="0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4" borderId="29" xfId="0" applyFont="1" applyFill="1" applyBorder="1" applyAlignment="1">
      <alignment vertical="center"/>
    </xf>
    <xf numFmtId="0" fontId="12" fillId="4" borderId="30" xfId="0" applyFont="1" applyFill="1" applyBorder="1" applyAlignment="1">
      <alignment vertical="center"/>
    </xf>
    <xf numFmtId="164" fontId="12" fillId="4" borderId="11" xfId="0" applyNumberFormat="1" applyFont="1" applyFill="1" applyBorder="1" applyAlignment="1" applyProtection="1">
      <alignment vertical="center" shrinkToFit="1"/>
      <protection locked="0"/>
    </xf>
    <xf numFmtId="0" fontId="12" fillId="8" borderId="0" xfId="0" applyFont="1" applyFill="1" applyAlignment="1">
      <alignment vertical="center"/>
    </xf>
    <xf numFmtId="0" fontId="12" fillId="8" borderId="0" xfId="0" applyFont="1" applyFill="1" applyAlignment="1" applyProtection="1">
      <alignment vertical="center"/>
      <protection hidden="1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 vertical="center"/>
      <protection hidden="1"/>
    </xf>
    <xf numFmtId="0" fontId="12" fillId="8" borderId="16" xfId="0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2" fillId="8" borderId="14" xfId="0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2" fillId="8" borderId="0" xfId="0" applyFont="1" applyFill="1" applyAlignment="1">
      <alignment vertical="center" wrapText="1"/>
    </xf>
    <xf numFmtId="0" fontId="12" fillId="8" borderId="5" xfId="0" applyFont="1" applyFill="1" applyBorder="1" applyAlignment="1">
      <alignment vertical="center"/>
    </xf>
    <xf numFmtId="0" fontId="12" fillId="8" borderId="5" xfId="0" applyFont="1" applyFill="1" applyBorder="1" applyAlignment="1" applyProtection="1">
      <alignment vertical="center"/>
      <protection hidden="1"/>
    </xf>
    <xf numFmtId="0" fontId="12" fillId="8" borderId="24" xfId="0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12" fillId="8" borderId="6" xfId="0" applyFont="1" applyFill="1" applyBorder="1" applyAlignment="1">
      <alignment horizontal="center" vertical="center"/>
    </xf>
    <xf numFmtId="0" fontId="16" fillId="8" borderId="19" xfId="0" applyFont="1" applyFill="1" applyBorder="1" applyAlignment="1" applyProtection="1">
      <alignment horizontal="center" vertical="center" shrinkToFit="1"/>
      <protection locked="0"/>
    </xf>
    <xf numFmtId="0" fontId="16" fillId="8" borderId="25" xfId="0" applyFont="1" applyFill="1" applyBorder="1" applyAlignment="1" applyProtection="1">
      <alignment horizontal="center" vertical="center" shrinkToFit="1"/>
      <protection locked="0"/>
    </xf>
    <xf numFmtId="0" fontId="17" fillId="8" borderId="19" xfId="0" applyFont="1" applyFill="1" applyBorder="1" applyAlignment="1">
      <alignment horizontal="center" vertical="center"/>
    </xf>
    <xf numFmtId="0" fontId="16" fillId="8" borderId="23" xfId="0" applyFont="1" applyFill="1" applyBorder="1" applyAlignment="1" applyProtection="1">
      <alignment horizontal="center" vertical="center"/>
      <protection hidden="1"/>
    </xf>
    <xf numFmtId="0" fontId="17" fillId="8" borderId="25" xfId="0" applyFont="1" applyFill="1" applyBorder="1" applyAlignment="1">
      <alignment horizontal="center" vertical="center"/>
    </xf>
    <xf numFmtId="0" fontId="16" fillId="8" borderId="6" xfId="0" applyFont="1" applyFill="1" applyBorder="1" applyAlignment="1" applyProtection="1">
      <alignment horizontal="center" vertical="center"/>
      <protection hidden="1"/>
    </xf>
    <xf numFmtId="0" fontId="21" fillId="4" borderId="18" xfId="0" applyFont="1" applyFill="1" applyBorder="1" applyAlignment="1">
      <alignment vertical="center"/>
    </xf>
    <xf numFmtId="0" fontId="9" fillId="0" borderId="0" xfId="0" applyFont="1" applyBorder="1"/>
    <xf numFmtId="164" fontId="12" fillId="4" borderId="17" xfId="0" applyNumberFormat="1" applyFont="1" applyFill="1" applyBorder="1" applyAlignment="1" applyProtection="1">
      <alignment vertical="center"/>
      <protection locked="0"/>
    </xf>
    <xf numFmtId="164" fontId="12" fillId="4" borderId="37" xfId="0" applyNumberFormat="1" applyFont="1" applyFill="1" applyBorder="1" applyAlignment="1" applyProtection="1">
      <alignment vertical="center"/>
      <protection locked="0"/>
    </xf>
    <xf numFmtId="0" fontId="16" fillId="4" borderId="38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vertical="center"/>
      <protection hidden="1"/>
    </xf>
    <xf numFmtId="0" fontId="22" fillId="4" borderId="0" xfId="0" applyFont="1" applyFill="1" applyBorder="1" applyAlignment="1" applyProtection="1">
      <alignment vertical="center"/>
      <protection hidden="1"/>
    </xf>
    <xf numFmtId="0" fontId="12" fillId="5" borderId="9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vertical="center"/>
      <protection locked="0"/>
    </xf>
    <xf numFmtId="0" fontId="20" fillId="5" borderId="27" xfId="0" applyFont="1" applyFill="1" applyBorder="1" applyAlignment="1" applyProtection="1">
      <alignment horizontal="center" vertical="center"/>
      <protection hidden="1"/>
    </xf>
    <xf numFmtId="0" fontId="20" fillId="5" borderId="18" xfId="0" applyFont="1" applyFill="1" applyBorder="1" applyAlignment="1" applyProtection="1">
      <alignment horizontal="center" vertical="center"/>
      <protection hidden="1"/>
    </xf>
    <xf numFmtId="0" fontId="12" fillId="4" borderId="29" xfId="0" applyFont="1" applyFill="1" applyBorder="1" applyAlignment="1" applyProtection="1">
      <alignment horizontal="left" vertical="center"/>
      <protection locked="0"/>
    </xf>
    <xf numFmtId="0" fontId="12" fillId="4" borderId="30" xfId="0" applyFont="1" applyFill="1" applyBorder="1" applyAlignment="1" applyProtection="1">
      <alignment vertical="center"/>
      <protection locked="0"/>
    </xf>
    <xf numFmtId="0" fontId="23" fillId="5" borderId="31" xfId="0" applyFont="1" applyFill="1" applyBorder="1" applyAlignment="1">
      <alignment vertical="center"/>
    </xf>
    <xf numFmtId="0" fontId="23" fillId="4" borderId="39" xfId="0" applyFont="1" applyFill="1" applyBorder="1" applyAlignment="1">
      <alignment vertical="center"/>
    </xf>
    <xf numFmtId="0" fontId="23" fillId="5" borderId="39" xfId="0" applyFont="1" applyFill="1" applyBorder="1" applyAlignment="1">
      <alignment vertical="center"/>
    </xf>
    <xf numFmtId="0" fontId="23" fillId="4" borderId="33" xfId="0" applyFont="1" applyFill="1" applyBorder="1" applyAlignment="1">
      <alignment vertical="center"/>
    </xf>
    <xf numFmtId="0" fontId="16" fillId="8" borderId="31" xfId="0" applyFont="1" applyFill="1" applyBorder="1" applyAlignment="1" applyProtection="1">
      <alignment horizontal="center" vertical="center"/>
      <protection locked="0"/>
    </xf>
    <xf numFmtId="0" fontId="16" fillId="8" borderId="32" xfId="0" applyFont="1" applyFill="1" applyBorder="1" applyAlignment="1" applyProtection="1">
      <alignment horizontal="center" vertical="center"/>
      <protection locked="0"/>
    </xf>
    <xf numFmtId="0" fontId="16" fillId="8" borderId="27" xfId="0" applyFont="1" applyFill="1" applyBorder="1" applyAlignment="1" applyProtection="1">
      <alignment horizontal="center" vertical="center"/>
      <protection locked="0"/>
    </xf>
    <xf numFmtId="0" fontId="16" fillId="8" borderId="34" xfId="0" applyFont="1" applyFill="1" applyBorder="1" applyAlignment="1" applyProtection="1">
      <alignment horizontal="center" vertical="center"/>
      <protection locked="0"/>
    </xf>
    <xf numFmtId="0" fontId="16" fillId="8" borderId="22" xfId="0" applyFont="1" applyFill="1" applyBorder="1" applyAlignment="1" applyProtection="1">
      <alignment horizontal="center" vertical="center"/>
      <protection locked="0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6" fillId="8" borderId="33" xfId="0" applyFont="1" applyFill="1" applyBorder="1" applyAlignment="1" applyProtection="1">
      <alignment horizontal="center" vertical="center"/>
      <protection locked="0"/>
    </xf>
    <xf numFmtId="0" fontId="16" fillId="8" borderId="24" xfId="0" applyFont="1" applyFill="1" applyBorder="1" applyAlignment="1" applyProtection="1">
      <alignment horizontal="center" vertical="center"/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6" fillId="8" borderId="20" xfId="0" applyFont="1" applyFill="1" applyBorder="1" applyAlignment="1" applyProtection="1">
      <alignment horizontal="center" vertical="center"/>
      <protection locked="0"/>
    </xf>
    <xf numFmtId="0" fontId="16" fillId="8" borderId="21" xfId="0" applyFont="1" applyFill="1" applyBorder="1" applyAlignment="1" applyProtection="1">
      <alignment horizontal="center" vertical="center"/>
      <protection locked="0"/>
    </xf>
    <xf numFmtId="0" fontId="16" fillId="8" borderId="23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vertical="center" shrinkToFit="1"/>
      <protection locked="0"/>
    </xf>
    <xf numFmtId="164" fontId="12" fillId="0" borderId="3" xfId="0" applyNumberFormat="1" applyFont="1" applyFill="1" applyBorder="1" applyAlignment="1" applyProtection="1">
      <alignment vertical="center"/>
      <protection locked="0"/>
    </xf>
    <xf numFmtId="164" fontId="12" fillId="0" borderId="35" xfId="0" applyNumberFormat="1" applyFont="1" applyFill="1" applyBorder="1" applyAlignment="1" applyProtection="1">
      <alignment vertical="center" shrinkToFit="1"/>
      <protection locked="0"/>
    </xf>
    <xf numFmtId="164" fontId="12" fillId="0" borderId="16" xfId="0" applyNumberFormat="1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164" fontId="12" fillId="4" borderId="40" xfId="0" applyNumberFormat="1" applyFont="1" applyFill="1" applyBorder="1" applyAlignment="1" applyProtection="1">
      <alignment vertical="center" shrinkToFit="1"/>
      <protection locked="0"/>
    </xf>
    <xf numFmtId="0" fontId="11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6" fillId="8" borderId="16" xfId="0" applyFont="1" applyFill="1" applyBorder="1" applyAlignment="1" applyProtection="1">
      <alignment horizontal="center" vertical="center"/>
      <protection hidden="1"/>
    </xf>
    <xf numFmtId="0" fontId="19" fillId="2" borderId="41" xfId="0" applyFont="1" applyFill="1" applyBorder="1" applyAlignment="1">
      <alignment vertical="center"/>
    </xf>
    <xf numFmtId="0" fontId="19" fillId="2" borderId="36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2" fillId="0" borderId="35" xfId="0" applyFont="1" applyBorder="1"/>
    <xf numFmtId="0" fontId="12" fillId="0" borderId="0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2" borderId="1" xfId="0" applyFont="1" applyFill="1" applyBorder="1"/>
    <xf numFmtId="0" fontId="11" fillId="2" borderId="2" xfId="0" applyFont="1" applyFill="1" applyBorder="1"/>
    <xf numFmtId="164" fontId="12" fillId="0" borderId="4" xfId="0" applyNumberFormat="1" applyFont="1" applyFill="1" applyBorder="1" applyAlignment="1" applyProtection="1">
      <alignment vertical="center" shrinkToFit="1"/>
      <protection locked="0"/>
    </xf>
    <xf numFmtId="164" fontId="12" fillId="0" borderId="6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theme="9" tint="-0.499984740745262"/>
      </font>
      <fill>
        <patternFill>
          <bgColor rgb="FFFFFF00"/>
        </patternFill>
      </fill>
    </dxf>
    <dxf>
      <font>
        <color theme="9" tint="-0.499984740745262"/>
      </font>
      <fill>
        <patternFill>
          <bgColor rgb="FFFFFF00"/>
        </patternFill>
      </fill>
    </dxf>
    <dxf>
      <font>
        <color theme="9" tint="-0.499984740745262"/>
      </font>
      <fill>
        <patternFill>
          <bgColor rgb="FFFFFF00"/>
        </patternFill>
      </fill>
    </dxf>
    <dxf>
      <font>
        <color theme="9" tint="-0.499984740745262"/>
      </font>
      <fill>
        <patternFill>
          <bgColor rgb="FFFFFF00"/>
        </patternFill>
      </fill>
    </dxf>
    <dxf>
      <font>
        <color theme="9" tint="-0.499984740745262"/>
      </font>
      <fill>
        <patternFill>
          <bgColor rgb="FFFFFF00"/>
        </patternFill>
      </fill>
    </dxf>
    <dxf>
      <font>
        <color theme="9" tint="-0.499984740745262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6"/>
  <sheetViews>
    <sheetView tabSelected="1" showRuler="0" topLeftCell="A13" zoomScale="62" zoomScaleNormal="62" zoomScalePageLayoutView="50" workbookViewId="0">
      <selection activeCell="AM34" sqref="AM34"/>
    </sheetView>
  </sheetViews>
  <sheetFormatPr baseColWidth="10" defaultColWidth="5.7109375" defaultRowHeight="15" x14ac:dyDescent="0.2"/>
  <cols>
    <col min="1" max="1" width="5.7109375" style="18"/>
    <col min="2" max="2" width="20.5703125" style="18" bestFit="1" customWidth="1"/>
    <col min="3" max="3" width="5.85546875" style="18" hidden="1" customWidth="1"/>
    <col min="4" max="4" width="7.28515625" style="18" hidden="1" customWidth="1"/>
    <col min="5" max="5" width="7.28515625" style="18" customWidth="1"/>
    <col min="6" max="6" width="6.5703125" style="18" hidden="1" customWidth="1"/>
    <col min="7" max="7" width="7.28515625" style="18" bestFit="1" customWidth="1"/>
    <col min="8" max="8" width="14.42578125" style="18" customWidth="1"/>
    <col min="9" max="9" width="5.85546875" style="18" hidden="1" customWidth="1"/>
    <col min="10" max="10" width="0.28515625" style="18" hidden="1" customWidth="1"/>
    <col min="11" max="11" width="7.28515625" style="18" customWidth="1"/>
    <col min="12" max="12" width="6.5703125" style="18" hidden="1" customWidth="1"/>
    <col min="13" max="13" width="7.28515625" style="18" customWidth="1"/>
    <col min="14" max="14" width="23.5703125" style="18" bestFit="1" customWidth="1"/>
    <col min="15" max="15" width="5.85546875" style="18" hidden="1" customWidth="1"/>
    <col min="16" max="16" width="7.28515625" style="18" hidden="1" customWidth="1"/>
    <col min="17" max="17" width="7.28515625" style="18" customWidth="1"/>
    <col min="18" max="18" width="6.5703125" style="18" hidden="1" customWidth="1"/>
    <col min="19" max="19" width="7.28515625" style="18" customWidth="1"/>
    <col min="20" max="20" width="19" style="18" bestFit="1" customWidth="1"/>
    <col min="21" max="21" width="5.85546875" style="18" hidden="1" customWidth="1"/>
    <col min="22" max="22" width="7.28515625" style="18" hidden="1" customWidth="1"/>
    <col min="23" max="23" width="7.28515625" style="18" customWidth="1"/>
    <col min="24" max="24" width="6.5703125" style="18" hidden="1" customWidth="1"/>
    <col min="25" max="25" width="7.28515625" style="18" customWidth="1"/>
    <col min="26" max="26" width="19.85546875" style="18" customWidth="1"/>
    <col min="27" max="27" width="5.85546875" style="18" hidden="1" customWidth="1"/>
    <col min="28" max="28" width="7.28515625" style="18" hidden="1" customWidth="1"/>
    <col min="29" max="29" width="7.28515625" style="18" customWidth="1"/>
    <col min="30" max="30" width="6.5703125" style="18" hidden="1" customWidth="1"/>
    <col min="31" max="31" width="8.42578125" style="18" bestFit="1" customWidth="1"/>
    <col min="32" max="32" width="20.7109375" style="18" bestFit="1" customWidth="1"/>
    <col min="33" max="33" width="5.85546875" style="18" hidden="1" customWidth="1"/>
    <col min="34" max="34" width="7.28515625" style="18" hidden="1" customWidth="1"/>
    <col min="35" max="35" width="7.28515625" style="18" customWidth="1"/>
    <col min="36" max="36" width="6.5703125" style="18" hidden="1" customWidth="1"/>
    <col min="37" max="37" width="10.7109375" style="18" customWidth="1"/>
    <col min="38" max="38" width="2.5703125" style="18" customWidth="1"/>
    <col min="39" max="39" width="36.28515625" style="18" customWidth="1"/>
    <col min="40" max="40" width="12.85546875" style="18" customWidth="1"/>
    <col min="41" max="16384" width="5.7109375" style="18"/>
  </cols>
  <sheetData>
    <row r="2" spans="1:40" ht="16.5" thickBot="1" x14ac:dyDescent="0.3">
      <c r="AH2"/>
      <c r="AI2"/>
      <c r="AJ2"/>
    </row>
    <row r="3" spans="1:40" ht="24" thickBot="1" x14ac:dyDescent="0.25">
      <c r="B3" s="125" t="s">
        <v>289</v>
      </c>
      <c r="C3" s="26"/>
      <c r="D3" s="26"/>
      <c r="E3" s="109"/>
      <c r="F3" s="110"/>
      <c r="G3" s="110"/>
      <c r="H3" s="111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123" t="s">
        <v>292</v>
      </c>
      <c r="AF3" s="123" t="s">
        <v>279</v>
      </c>
      <c r="AG3" s="28"/>
      <c r="AH3" s="29"/>
      <c r="AI3" s="29"/>
      <c r="AJ3" s="29"/>
      <c r="AK3" s="26"/>
      <c r="AL3" s="26"/>
      <c r="AM3" s="120" t="s">
        <v>537</v>
      </c>
      <c r="AN3" s="121"/>
    </row>
    <row r="4" spans="1:40" ht="21.75" thickBot="1" x14ac:dyDescent="0.25">
      <c r="B4" s="126" t="s">
        <v>121</v>
      </c>
      <c r="C4" s="26"/>
      <c r="D4" s="26"/>
      <c r="E4" s="30"/>
      <c r="F4" s="26"/>
      <c r="G4" s="30" t="s">
        <v>298</v>
      </c>
      <c r="H4" s="75" t="s">
        <v>216</v>
      </c>
      <c r="I4" s="26"/>
      <c r="J4" s="26"/>
      <c r="K4" s="26"/>
      <c r="L4" s="26"/>
      <c r="M4" s="26"/>
      <c r="N4" s="25" t="s">
        <v>270</v>
      </c>
      <c r="O4" s="31"/>
      <c r="P4" s="31"/>
      <c r="Q4" s="30"/>
      <c r="R4" s="26"/>
      <c r="S4" s="30" t="s">
        <v>298</v>
      </c>
      <c r="T4" s="98" t="s">
        <v>275</v>
      </c>
      <c r="U4" s="99"/>
      <c r="V4" s="100"/>
      <c r="W4" s="46"/>
      <c r="X4" s="26"/>
      <c r="Y4" s="26"/>
      <c r="Z4" s="25" t="s">
        <v>296</v>
      </c>
      <c r="AA4" s="26"/>
      <c r="AB4" s="26"/>
      <c r="AC4" s="30" t="s">
        <v>298</v>
      </c>
      <c r="AD4" s="26"/>
      <c r="AE4" s="122"/>
      <c r="AF4" s="124">
        <f ca="1">+PRODUCT($G$11,3)+$AE$4</f>
        <v>12</v>
      </c>
      <c r="AG4" s="28"/>
      <c r="AH4" s="29"/>
      <c r="AI4" s="33"/>
      <c r="AJ4" s="29"/>
      <c r="AK4" s="26"/>
      <c r="AL4" s="26"/>
      <c r="AM4" s="94" t="s">
        <v>112</v>
      </c>
      <c r="AN4" s="90">
        <f ca="1">+PRODUCT($AE$9,3)</f>
        <v>6</v>
      </c>
    </row>
    <row r="5" spans="1:40" ht="21.75" thickBot="1" x14ac:dyDescent="0.25">
      <c r="B5" s="126" t="s">
        <v>290</v>
      </c>
      <c r="C5" s="26"/>
      <c r="D5" s="26"/>
      <c r="E5" s="30"/>
      <c r="F5" s="26"/>
      <c r="G5" s="30" t="s">
        <v>298</v>
      </c>
      <c r="H5" s="75" t="s">
        <v>294</v>
      </c>
      <c r="I5" s="26"/>
      <c r="J5" s="26"/>
      <c r="K5" s="26"/>
      <c r="L5" s="26"/>
      <c r="M5" s="26"/>
      <c r="N5" s="25" t="s">
        <v>271</v>
      </c>
      <c r="O5" s="31"/>
      <c r="P5" s="31"/>
      <c r="Q5" s="30"/>
      <c r="R5" s="26"/>
      <c r="S5" s="30" t="s">
        <v>298</v>
      </c>
      <c r="T5" s="101" t="s">
        <v>275</v>
      </c>
      <c r="U5" s="102"/>
      <c r="V5" s="103"/>
      <c r="W5" s="46"/>
      <c r="X5" s="26"/>
      <c r="Y5" s="26"/>
      <c r="Z5" s="25" t="s">
        <v>297</v>
      </c>
      <c r="AA5" s="26"/>
      <c r="AB5" s="26"/>
      <c r="AC5" s="30" t="s">
        <v>298</v>
      </c>
      <c r="AD5" s="26"/>
      <c r="AE5" s="77"/>
      <c r="AF5" s="78">
        <f ca="1">+PRODUCT($Y$10,3)+$AE$5</f>
        <v>12</v>
      </c>
      <c r="AG5" s="28"/>
      <c r="AH5" s="29"/>
      <c r="AI5" s="33"/>
      <c r="AJ5" s="29"/>
      <c r="AK5" s="26"/>
      <c r="AL5" s="26"/>
      <c r="AM5" s="95" t="s">
        <v>113</v>
      </c>
      <c r="AN5" s="44">
        <f ca="1">+SUM($G$9,-5)</f>
        <v>-1</v>
      </c>
    </row>
    <row r="6" spans="1:40" ht="21.75" thickBot="1" x14ac:dyDescent="0.25">
      <c r="B6" s="127" t="s">
        <v>291</v>
      </c>
      <c r="C6" s="26"/>
      <c r="D6" s="26"/>
      <c r="E6" s="30"/>
      <c r="F6" s="26"/>
      <c r="G6" s="30" t="s">
        <v>298</v>
      </c>
      <c r="H6" s="76" t="s">
        <v>283</v>
      </c>
      <c r="I6" s="26"/>
      <c r="J6" s="26"/>
      <c r="K6" s="26"/>
      <c r="L6" s="26"/>
      <c r="M6" s="26"/>
      <c r="N6" s="25" t="s">
        <v>272</v>
      </c>
      <c r="O6" s="31">
        <f>+IF($H$6="Élite",9,IF($H$6="Experto",6,IF($H$6="Veterano",3,0)))</f>
        <v>0</v>
      </c>
      <c r="P6" s="31"/>
      <c r="Q6" s="30"/>
      <c r="R6" s="26"/>
      <c r="S6" s="30" t="s">
        <v>298</v>
      </c>
      <c r="T6" s="104" t="s">
        <v>275</v>
      </c>
      <c r="U6" s="105"/>
      <c r="V6" s="106"/>
      <c r="W6" s="46"/>
      <c r="X6" s="26"/>
      <c r="Y6" s="26"/>
      <c r="Z6" s="25" t="s">
        <v>295</v>
      </c>
      <c r="AA6" s="26"/>
      <c r="AB6" s="26"/>
      <c r="AC6" s="30" t="s">
        <v>298</v>
      </c>
      <c r="AD6" s="26"/>
      <c r="AE6" s="79"/>
      <c r="AF6" s="80">
        <f ca="1">+PRODUCT($AK$10,3)+$AE$6</f>
        <v>0</v>
      </c>
      <c r="AG6" s="26"/>
      <c r="AH6" s="26"/>
      <c r="AI6" s="32"/>
      <c r="AJ6" s="26"/>
      <c r="AK6" s="26"/>
      <c r="AL6" s="26"/>
      <c r="AM6" s="96" t="s">
        <v>114</v>
      </c>
      <c r="AN6" s="91">
        <f ca="1">+SUM(PRODUCT($M$9,2),$M$11)</f>
        <v>6</v>
      </c>
    </row>
    <row r="7" spans="1:40" ht="2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95" t="s">
        <v>115</v>
      </c>
      <c r="AN7" s="44" t="str">
        <f ca="1">+$M$11&amp;"/"&amp;$M$9</f>
        <v>2/2</v>
      </c>
    </row>
    <row r="8" spans="1:40" ht="23.25" x14ac:dyDescent="0.2">
      <c r="A8" s="43"/>
      <c r="B8" s="34" t="s">
        <v>0</v>
      </c>
      <c r="C8" s="35"/>
      <c r="D8" s="35"/>
      <c r="E8" s="35"/>
      <c r="F8" s="35"/>
      <c r="G8" s="34">
        <f ca="1">+IF($H$4="Abrita",VLOOKUP(Características!$A$33,Características!$A$2:$T$30,7,FALSE)+3,IF($H$4="Aioll",VLOOKUP(Características!$A$33,Características!$A$2:$T$30,7,FALSE)+4,IF($H$4="Boron",VLOOKUP(Características!$A$33,Características!$A$2:$T$30,13,FALSE)+6,IF($H$4="Cererio",VLOOKUP(Características!$A$33,Características!$A$2:$T$30,12,FALSE)+5,IF($H$4="Crelin",VLOOKUP(Características!$A$33,Características!$A$2:$T$30,19,FALSE)+4,IF($H$4="Cromter",VLOOKUP(Características!$A$33,Características!$A$2:$T$30,17,FALSE)+2,IF($H$4="Docte",VLOOKUP(Características!$A$33,Características!$A$2:$T$30,12,FALSE)+4,IF($H$4="Eisil",VLOOKUP(Características!$A$33,Características!$A$2:$T$30,12,FALSE)+4,IF($H$4="Erow",VLOOKUP(Características!$A$33,Características!$A$2:$T$30,7,FALSE)+2,IF($H$4="Fremio",VLOOKUP(Características!$A$33,Características!$A$2:$T$30,7,FALSE)+2,IF($H$4="Graochinek",VLOOKUP(Características!$A$33,Características!$A$2:$T$30,13,FALSE)+4,IF($H$4="Heriano",VLOOKUP(Características!$A$33,Características!$A$2:$T$30,12,FALSE)+3,IF($H$4="Humano",VLOOKUP(Características!$A$33,Características!$A$2:$T$30,12,FALSE)+4,IF($H$4="Ielserkaren",VLOOKUP(Características!$A$33,Características!$A$2:$T$30,9,FALSE)+6,IF($H$4="Iroiendi",VLOOKUP(Características!$A$33,Características!$A$2:$T$30,5,FALSE)+2,IF($H$4="Jional",VLOOKUP(Características!$A$33,Características!$A$2:$T$30,7,FALSE)+4,IF($H$4="Kauri",VLOOKUP(Características!$A$33,Características!$A$2:$T$30,14,FALSE)+6,IF($H$4="Kileiro",VLOOKUP(Características!$A$33,Características!$A$2:$T$30,8,FALSE)+3,IF($H$4="Lixnel",VLOOKUP(Características!$A$33,Características!$A$2:$T$30,12,FALSE)+6,IF($H$4="Marbagan",VLOOKUP(Características!$A$33,Características!$A$2:$T$30,12,FALSE)+4,IF($H$4="Mibu",VLOOKUP(Características!$A$33,Características!$A$2:$T$30,7,FALSE)+4,IF($H$4="Nitilo",VLOOKUP(Características!$A$33,Características!$A$2:$T$30,7,FALSE)+2,IF($H$4="Ogni",VLOOKUP(Características!$A$33,Características!$A$2:$T$30,7,FALSE)+2,IF($H$4="Oliero",VLOOKUP(Características!$A$33,Características!$A$2:$T$30,10,FALSE)+5,IF($H$4="Orbitra",VLOOKUP(Características!$A$33,Características!$A$2:$T$30,14,FALSE)+6,IF($H$4="Qatar",VLOOKUP(Características!$A$33,Características!$A$2:$T$30,13,FALSE)+4,IF($H$4="Sheller",VLOOKUP(Características!$A$33,Características!$A$2:$T$30,12,FALSE)+6,IF($H$4="Silvano",VLOOKUP(Características!$A$33,Características!$A$2:$T$30,11,FALSE)+1,IF($H$4="Tyrano",VLOOKUP(Características!$A$33,Características!$A$2:$T$30,12,FALSE)+4,IF($H$4="Ukaro",VLOOKUP(Características!$A$33,Características!$A$2:$T$30,14,FALSE)+6,IF($H$4="Veddio",VLOOKUP(Características!$A$33,Características!$A$2:$T$30,13,FALSE)+4,IF($H$4="Verriano",VLOOKUP(Características!$A$33,Características!$A$2:$T$30,14,FALSE)+6,IF($H$4="Wu",VLOOKUP(Características!$A$33,Características!$A$2:$T$30,10,FALSE)+7,IF($H$4="Xenfer",VLOOKUP(Características!$A$33,Características!$A$2:$T$30,13,FALSE)+6,IF($H$4="Yemer",VLOOKUP(Características!$A$33,Características!$A$2:$T$30,15,FALSE)+3,IF($H$4="Yrr",VLOOKUP(Características!$A$33,Características!$A$2:$T$30,9,FALSE)+4,IF($H$4="Zelonita",VLOOKUP(Características!$A$33,Características!$A$2:$T$30,19,FALSE)+3,"Escoja especie")))))))))))))))))))))))))))))))))))))+IF($T$4="+",1,IF($T$4="-",-1,0))</f>
        <v>8</v>
      </c>
      <c r="H8" s="34" t="s">
        <v>1</v>
      </c>
      <c r="I8" s="35"/>
      <c r="J8" s="35"/>
      <c r="K8" s="35"/>
      <c r="L8" s="35"/>
      <c r="M8" s="34">
        <f ca="1">+IF($H$4="Abrita",VLOOKUP(Características!$B$33,Características!$A$2:$T$30,10,FALSE)+3,IF($H$4="Aioll",VLOOKUP(Características!$B$33,Características!$A$2:$T$30,7,FALSE)+6,IF($H$4="Boron",VLOOKUP(Características!$B$33,Características!$A$2:$T$30,13,FALSE)+6,IF($H$4="Cererio",VLOOKUP(Características!$B$33,Características!$A$2:$T$30,12,FALSE)+4,IF($H$4="Crelin",VLOOKUP(Características!$B$33,Características!$A$2:$T$30,13,FALSE)+4,IF($H$4="Cromter",VLOOKUP(Características!$B$33,Características!$A$2:$T$30,12,FALSE)+5,IF($H$4="Docte",VLOOKUP(Características!$B$33,Características!$A$2:$T$30,11,FALSE)+3,IF($H$4="Eisil",VLOOKUP(Características!$B$33,Características!$A$2:$T$30,12,FALSE)+4,IF($H$4="Erow",VLOOKUP(Características!$B$33,Características!$A$2:$T$30,8,FALSE)+3,IF($H$4="Fremio",VLOOKUP(Características!$B$33,Características!$A$2:$T$30,11,FALSE)+4,IF($H$4="Graochinek",VLOOKUP(Características!$B$33,Características!$A$2:$T$30,13,FALSE)+6,IF($H$4="Heriano",VLOOKUP(Características!$B$33,Características!$A$2:$T$30,14,FALSE)+4,IF($H$4="Humano",VLOOKUP(Características!$B$33,Características!$A$2:$T$30,12,FALSE)+4,IF($H$4="Ielserkaren",VLOOKUP(Características!$B$33,Características!$A$2:$T$30,12,FALSE)+6,IF($H$4="Iroiendi",VLOOKUP(Características!$B$33,Características!$A$2:$T$30,17,FALSE)+2,IF($H$4="Jional",VLOOKUP(Características!$B$33,Características!$A$2:$T$30,7,FALSE)+4,IF($H$4="Kauri",VLOOKUP(Características!$B$33,Características!$A$2:$T$30,13,FALSE)+6,IF($H$4="Kileiro",VLOOKUP(Características!$B$33,Características!$A$2:$T$30,13,FALSE)+4,IF($H$4="Lixnel",VLOOKUP(Características!$B$33,Características!$A$2:$T$30,13,FALSE)+6,IF($H$4="Marbagan",VLOOKUP(Características!$B$33,Características!$A$2:$T$30,15,FALSE)+3,IF($H$4="Mibu",VLOOKUP(Características!$B$33,Características!$A$2:$T$30,14,FALSE)+4,IF($H$4="Nitilo",VLOOKUP(Características!$B$33,Características!$A$2:$T$30,7,FALSE)+4,IF($H$4="Ogni",VLOOKUP(Características!$B$33,Características!$A$2:$T$30,7,FALSE)+2,IF($H$4="Oliero",VLOOKUP(Características!$B$33,Características!$A$2:$T$30,7,FALSE)+5,IF($H$4="Orbitra",VLOOKUP(Características!$B$33,Características!$A$2:$T$30,6,FALSE)+2,IF($H$4="Qatar",VLOOKUP(Características!$B$33,Características!$A$2:$T$30,12,FALSE)+4,IF($H$4="Sheller",VLOOKUP(Características!$B$33,Características!$A$2:$T$30,12,FALSE)+6,IF($H$4="Silvano",VLOOKUP(Características!$B$33,Características!$A$2:$T$30,10,FALSE)+3,IF($H$4="Tyrano",VLOOKUP(Características!$B$33,Características!$A$2:$T$30,12,FALSE)+4,IF($H$4="Ukaro",VLOOKUP(Características!$B$33,Características!$A$2:$T$30,13,FALSE)+6,IF($H$4="Veddio",VLOOKUP(Características!$B$33,Características!$A$2:$T$30,10,FALSE)+6,IF($H$4="Verriano",VLOOKUP(Características!$B$33,Características!$A$2:$T$30,13,FALSE)+6,IF($H$4="Wu",VLOOKUP(Características!$B$33,Características!$A$2:$T$30,10,FALSE)+1,IF($H$4="Xenfer",VLOOKUP(Características!$B$33,Características!$A$2:$T$30,14,FALSE)+6,IF($H$4="Yemer",VLOOKUP(Características!$B$33,Características!$A$2:$T$30,12,FALSE)+4,IF($H$4="Yrr",VLOOKUP(Características!$B$33,Características!$A$2:$T$30,13,FALSE)+4,IF($H$4="Zelonita",VLOOKUP(Características!$B$33,Características!$A$2:$T$30,19,FALSE)+3,"Escoja especie")))))))))))))))))))))))))))))))))))))+IF($T$4="+",-1,IF($T$4="-",1,0))</f>
        <v>4</v>
      </c>
      <c r="N8" s="34" t="s">
        <v>2</v>
      </c>
      <c r="O8" s="35"/>
      <c r="P8" s="35"/>
      <c r="Q8" s="35"/>
      <c r="R8" s="35"/>
      <c r="S8" s="34">
        <f ca="1">+IF($H$4="Abrita",VLOOKUP(Características!$C$33,Características!$A$2:$T$30,7,FALSE)+6,IF($H$4="Aioll",VLOOKUP(Características!$C$33,Características!$A$2:$T$30,13,FALSE)+6,IF($H$4="Boron",VLOOKUP(Características!$C$33,Características!$A$2:$T$30,13,FALSE)+2,IF($H$4="Cererio",VLOOKUP(Características!$C$33,Características!$A$2:$T$30,14,FALSE)+3,IF($H$4="Crelin",VLOOKUP(Características!$C$33,Características!$A$2:$T$30,12,FALSE)+2,IF($H$4="Cromter",VLOOKUP(Características!$C$33,Características!$A$2:$T$30,12,FALSE)+4,IF($H$4="Docte",VLOOKUP(Características!$C$33,Características!$A$2:$T$30,19,FALSE)+4,IF($H$4="Eisil",VLOOKUP(Características!$C$33,Características!$A$2:$T$30,13,FALSE)+4,IF($H$4="Erow",VLOOKUP(Características!$C$33,Características!$A$2:$T$30,5,FALSE)+3,IF($H$4="Fremio",VLOOKUP(Características!$C$33,Características!$A$2:$T$30,6,FALSE)+3,IF($H$4="Graochinek",VLOOKUP(Características!$C$33,Características!$A$2:$T$30,17,FALSE)+1,IF($H$4="Heriano",VLOOKUP(Características!$C$33,Características!$A$2:$T$30,8,FALSE)+4,IF($H$4="Humano",VLOOKUP(Características!$C$33,Características!$A$2:$T$30,16,FALSE)+4,IF($H$4="Ielserkaren",VLOOKUP(Características!$C$33,Características!$A$2:$T$30,13,FALSE)+2,IF($H$4="Iroiendi",VLOOKUP(Características!$C$33,Características!$A$2:$T$30,20,FALSE)+4,IF($H$4="Jional",VLOOKUP(Características!$C$33,Características!$A$2:$T$30,12,FALSE)+6,IF($H$4="Kauri",VLOOKUP(Características!$C$33,Características!$A$2:$T$30,12,FALSE)+2,IF($H$4="Kileiro",VLOOKUP(Características!$C$33,Características!$A$2:$T$30,7,FALSE)+3,IF($H$4="Lixnel",VLOOKUP(Características!$C$33,Características!$A$2:$T$30,10,FALSE)+3,IF($H$4="Marbagan",VLOOKUP(Características!$C$33,Características!$A$2:$T$30,15,FALSE)+4,IF($H$4="Mibu",VLOOKUP(Características!$C$33,Características!$A$2:$T$30,12,FALSE)+3,IF($H$4="Nitilo",VLOOKUP(Características!$C$33,Características!$A$2:$T$30,12,FALSE)+6,IF($H$4="Ogni",VLOOKUP(Características!$C$33,Características!$A$2:$T$30,14,FALSE)+6,IF($H$4="Oliero",VLOOKUP(Características!$C$33,Características!$A$2:$T$30,9,FALSE)+6,IF($H$4="Orbitra",VLOOKUP(Características!$C$33,Características!$A$2:$T$30,15,FALSE)+5,IF($H$4="Qatar",VLOOKUP(Características!$C$33,Características!$A$2:$T$30,9,FALSE)+4,IF($H$4="Sheller",VLOOKUP(Características!$C$33,Características!$A$2:$T$30,13,FALSE)+4,IF($H$4="Silvano",VLOOKUP(Características!$C$33,Características!$A$2:$T$30,15,FALSE)+3,IF($H$4="Tyrano",VLOOKUP(Características!$C$33,Características!$A$2:$T$30,13,FALSE)+4,IF($H$4="Ukaro",VLOOKUP(Características!$C$33,Características!$A$2:$T$30,10,FALSE)+4,IF($H$4="Veddio",VLOOKUP(Características!$C$33,Características!$A$2:$T$30,10,FALSE)+4,IF($H$4="Verriano",VLOOKUP(Características!$C$33,Características!$A$2:$T$30,12,FALSE)+4,IF($H$4="Wu",VLOOKUP(Características!$C$33,Características!$A$2:$T$30,14,FALSE)+6,IF($H$4="Xenfer",VLOOKUP(Características!$C$33,Características!$A$2:$T$30,11,FALSE)+4,IF($H$4="Yemer",VLOOKUP(Características!$C$33,Características!$A$2:$T$30,13,FALSE)+4,IF($H$4="Yrr",VLOOKUP(Características!$C$33,Características!$A$2:$T$30,6,FALSE)+3,IF($H$4="Zelonita",VLOOKUP(Características!$C$33,Características!$A$2:$T$30,13,FALSE)+4,"Escoja especie")))))))))))))))))))))))))))))))))))))+IF($T$5="+",-1,IF($T$5="-",1,0))</f>
        <v>9</v>
      </c>
      <c r="T8" s="34" t="s">
        <v>3</v>
      </c>
      <c r="U8" s="35"/>
      <c r="V8" s="35"/>
      <c r="W8" s="35"/>
      <c r="X8" s="35"/>
      <c r="Y8" s="34">
        <f ca="1">+IF($H$4="Abrita",VLOOKUP(Características!$D$33,Características!$A$2:$T$30,9,FALSE)+5,IF($H$4="Aioll",VLOOKUP(Características!$D$33,Características!$A$2:$T$30,13,FALSE)+6,IF($H$4="Boron",VLOOKUP(Características!$D$33,Características!$A$2:$T$30,13,FALSE)+2,IF($H$4="Cererio",VLOOKUP(Características!$D$33,Características!$A$2:$T$30,11,FALSE)+2,IF($H$4="Crelin",VLOOKUP(Características!$D$33,Características!$A$2:$T$30,19,FALSE)+2,IF($H$4="Cromter",VLOOKUP(Características!$D$33,Características!$A$2:$T$30,12,FALSE)+4,IF($H$4="Docte",VLOOKUP(Características!$D$33,Características!$A$2:$T$30,8,FALSE)+2,IF($H$4="Eisil",VLOOKUP(Características!$D$33,Características!$A$2:$T$30,13,FALSE)+2,IF($H$4="Erow",VLOOKUP(Características!$D$33,Características!$A$2:$T$30,15,FALSE)+5,IF($H$4="Fremio",VLOOKUP(Características!$D$33,Características!$A$2:$T$30,6,FALSE)+2,IF($H$4="Graochinek",VLOOKUP(Características!$D$33,Características!$A$2:$T$30,6,FALSE)+4,IF($H$4="Heriano",VLOOKUP(Características!$D$33,Características!$A$2:$T$30,7,FALSE)+3,IF($H$4="Humano",VLOOKUP(Características!$D$33,Características!$A$2:$T$30,13,FALSE)+4,IF($H$4="Ielserkaren",VLOOKUP(Características!$D$33,Características!$A$2:$T$30,15,FALSE)+4,IF($H$4="Iroiendi",VLOOKUP(Características!$D$33,Características!$A$2:$T$30,13,FALSE)+3,IF($H$4="Jional",VLOOKUP(Características!$D$33,Características!$A$2:$T$30,13,FALSE)+4,IF($H$4="Kauri",VLOOKUP(Características!$D$33,Características!$A$2:$T$30,7,FALSE)+3,IF($H$4="Kileiro",VLOOKUP(Características!$D$33,Características!$A$2:$T$30,12,FALSE)+3,IF($H$4="Lixnel",VLOOKUP(Características!$D$33,Características!$A$2:$T$30,10,FALSE)+3,IF($H$4="Marbagan",VLOOKUP(Características!$D$33,Características!$A$2:$T$30,13,FALSE)+4,IF($H$4="Mibu",VLOOKUP(Características!$D$33,Características!$A$2:$T$30,10,FALSE)+3,IF($H$4="Nitilo",VLOOKUP(Características!$D$33,Características!$A$2:$T$30,13,FALSE)+4,IF($H$4="Ogni",VLOOKUP(Características!$D$33,Características!$A$2:$T$30,14,FALSE)+4,IF($H$4="Oliero",VLOOKUP(Características!$D$33,Características!$A$2:$T$30,7,FALSE)+6,IF($H$4="Orbitra",VLOOKUP(Características!$D$33,Características!$A$2:$T$30,4,FALSE)+3,IF($H$4="Qatar",VLOOKUP(Características!$D$33,Características!$A$2:$T$30,12,FALSE)+4,IF($H$4="Sheller",VLOOKUP(Características!$D$33,Características!$A$2:$T$30,10,FALSE)+4,IF($H$4="Silvano",VLOOKUP(Características!$D$33,Características!$A$2:$T$30,7,FALSE)+4,IF($H$4="Tyrano",VLOOKUP(Características!$D$33,Características!$A$2:$T$30,13,FALSE)+4,IF($H$4="Ukaro",VLOOKUP(Características!$D$33,Características!$A$2:$T$30,8,FALSE)+4,IF($H$4="Veddio",VLOOKUP(Características!$D$33,Características!$A$2:$T$30,16,FALSE)+1,IF($H$4="Verriano",VLOOKUP(Características!$D$33,Características!$A$2:$T$30,7,FALSE)+4,IF($H$4="Wu",VLOOKUP(Características!$D$33,Características!$A$2:$T$30,13,FALSE)+2,IF($H$4="Xenfer",VLOOKUP(Características!$D$33,Características!$A$2:$T$30,11,FALSE)+4,IF($H$4="Yemer",VLOOKUP(Características!$D$33,Características!$A$2:$T$30,13,FALSE)+4,IF($H$4="Yrr",VLOOKUP(Características!$D$33,Características!$A$2:$T$30,7,FALSE)+3,IF($H$4="Zelonita",VLOOKUP(Características!$D$33,Características!$A$2:$T$30,13,FALSE)+4,"Escoja especie")))))))))))))))))))))))))))))))))))))+IF($T$6="+",1,IF($T$6="-",-1,0))</f>
        <v>8</v>
      </c>
      <c r="Z8" s="34" t="s">
        <v>4</v>
      </c>
      <c r="AA8" s="35"/>
      <c r="AB8" s="35"/>
      <c r="AC8" s="35"/>
      <c r="AD8" s="35"/>
      <c r="AE8" s="34">
        <f ca="1">+IF($H$4="Abrita",VLOOKUP(Características!$E$33,Características!$A$2:$T$30,9,FALSE)+5,IF($H$4="Aioll",VLOOKUP(Características!$E$33,Características!$A$2:$T$30,7,FALSE)+4,IF($H$4="Boron",VLOOKUP(Características!$E$33,Características!$A$2:$T$30,13,FALSE)+4,IF($H$4="Cererio",VLOOKUP(Características!$E$33,Características!$A$2:$T$30,15,FALSE)+3,IF($H$4="Crelin",VLOOKUP(Características!$E$33,Características!$A$2:$T$30,13,FALSE)+2,IF($H$4="Cromter",VLOOKUP(Características!$E$33,Características!$A$2:$T$30,14,FALSE)+4,IF($H$4="Docte",VLOOKUP(Características!$E$33,Características!$A$2:$T$30,19,FALSE)+4,IF($H$4="Eisil",VLOOKUP(Características!$E$33,Características!$A$2:$T$30,14,FALSE)+4,IF($H$4="Erow",VLOOKUP(Características!$E$33,Características!$A$2:$T$30,12,FALSE)+4,IF($H$4="Fremio",VLOOKUP(Características!$E$33,Características!$A$2:$T$30,14,FALSE)+4,IF($H$4="Graochinek",VLOOKUP(Características!$E$33,Características!$A$2:$T$30,14,FALSE)+4,IF($H$4="Heriano",VLOOKUP(Características!$E$33,Características!$A$2:$T$30,14,FALSE)+5,IF($H$4="Humano",VLOOKUP(Características!$E$33,Características!$A$2:$T$30,12,FALSE)+4,IF($H$4="Ielserkaren",VLOOKUP(Características!$E$33,Características!$A$2:$T$30,13,FALSE)+2,IF($H$4="Iroiendi",VLOOKUP(Características!$E$33,Características!$A$2:$T$30,9,FALSE)+3,IF($H$4="Jional",VLOOKUP(Características!$E$33,Características!$A$2:$T$30,16,FALSE)+1,IF($H$4="Kauri",VLOOKUP(Características!$E$33,Características!$A$2:$T$30,13,FALSE)+6,IF($H$4="Kileiro",VLOOKUP(Características!$E$33,Características!$A$2:$T$30,13,FALSE)+4,IF($H$4="Lixnel",VLOOKUP(Características!$E$33,Características!$A$2:$T$30,12,FALSE)+6,IF($H$4="Marbagan",VLOOKUP(Características!$E$33,Características!$A$2:$T$30,12,FALSE)+4,IF($H$4="Mibu",VLOOKUP(Características!$E$33,Características!$A$2:$T$30,12,FALSE)+4,IF($H$4="Nitilo",VLOOKUP(Características!$E$33,Características!$A$2:$T$30,13,FALSE)+4,IF($H$4="Ogni",VLOOKUP(Características!$E$33,Características!$A$2:$T$30,13,FALSE)+2,IF($H$4="Oliero",VLOOKUP(Características!$E$33,Características!$A$2:$T$30,10,FALSE)+3,IF($H$4="Orbitra",VLOOKUP(Características!$E$33,Características!$A$2:$T$30,8,FALSE)+4,IF($H$4="Qatar",VLOOKUP(Características!$E$33,Características!$A$2:$T$30,13,FALSE)+2,IF($H$4="Sheller",VLOOKUP(Características!$E$33,Características!$A$2:$T$30,13,FALSE)+4,IF($H$4="Silvano",VLOOKUP(Características!$E$33,Características!$A$2:$T$30,17,FALSE)+1,IF($H$4="Tyrano",VLOOKUP(Características!$E$33,Características!$A$2:$T$30,12,FALSE)+4,IF($H$4="Ukaro",VLOOKUP(Características!$E$33,Características!$A$2:$T$30,10,FALSE)+3,IF($H$4="Veddio",VLOOKUP(Características!$E$33,Características!$A$2:$T$30,10,FALSE)+4,IF($H$4="Verriano",VLOOKUP(Características!$E$33,Características!$A$2:$T$30,13,FALSE)+6,IF($H$4="Wu",VLOOKUP(Características!$E$33,Características!$A$2:$T$30,7,FALSE)+4,IF($H$4="Xenfer",VLOOKUP(Características!$E$33,Características!$A$2:$T$30,20,FALSE)+4,IF($H$4="Yemer",VLOOKUP(Características!$E$33,Características!$A$2:$T$30,10,FALSE)+4,IF($H$4="Yrr",VLOOKUP(Características!$E$33,Características!$A$2:$T$30,14,FALSE)+3,IF($H$4="Zelonita",VLOOKUP(Características!$E$33,Características!$A$2:$T$30,13,FALSE)+4,"Escoja especie")))))))))))))))))))))))))))))))))))))+IF($T$6="+",-1,IF($T$6="-",1,0))</f>
        <v>4</v>
      </c>
      <c r="AF8" s="34" t="s">
        <v>5</v>
      </c>
      <c r="AG8" s="35"/>
      <c r="AH8" s="35"/>
      <c r="AI8" s="35"/>
      <c r="AJ8" s="35"/>
      <c r="AK8" s="34">
        <f ca="1">+IF($H$4="Abrita",VLOOKUP(Características!$E$33,Características!$A$2:$T$30,2,FALSE)+0,IF($H$4="Aioll",VLOOKUP(Características!$E$33,Características!$A$2:$T$30,2,FALSE)+0,IF($H$4="Boron",VLOOKUP(Características!$E$33,Características!$A$2:$T$30,2,FALSE)+0,IF($H$4="Cererio",VLOOKUP(Características!$E$33,Características!$A$2:$T$30,9,FALSE)+1,IF($H$4="Crelin",VLOOKUP(Características!$E$33,Características!$A$2:$T$30,2,FALSE)+0,IF($H$4="Cromter",VLOOKUP(Características!$E$33,Características!$A$2:$T$30,15,FALSE)+2,IF($H$4="Docte",VLOOKUP(Características!$E$33,Características!$A$2:$T$30,2,FALSE)+0,IF($H$4="Eisil",VLOOKUP(Características!$E$33,Características!$A$2:$T$30,18,FALSE)+2,IF($H$4="Erow",VLOOKUP(Características!$E$33,Características!$A$2:$T$30,2,FALSE)+0,IF($H$4="Fremio",VLOOKUP(Características!$E$33,Características!$A$2:$T$30,5,FALSE)+3,IF($H$4="Graochinek",VLOOKUP(Características!$E$33,Características!$A$2:$T$30,2,FALSE)+0,IF($H$4="Heriano",VLOOKUP(Características!$E$33,Características!$A$2:$T$30,13,FALSE)+3,IF($H$4="Humano",VLOOKUP(Características!$E$33,Características!$A$2:$T$30,3,FALSE)+0,IF($H$4="Ielserkaren",VLOOKUP(Características!$E$33,Características!$A$2:$T$30,2,FALSE)+0,IF($H$4="Iroiendi",VLOOKUP(Características!$E$33,Características!$A$2:$T$30,2,FALSE)+0,IF($H$4="Jional",VLOOKUP(Características!$E$33,Características!$A$2:$T$30,3,FALSE)+0,IF($H$4="Kauri",VLOOKUP(Características!$E$33,Características!$A$2:$T$30,6,FALSE)+1,IF($H$4="Kileiro",VLOOKUP(Características!$E$33,Características!$A$2:$T$30,2,FALSE)+0,IF($H$4="Lixnel",VLOOKUP(Características!$E$33,Características!$A$2:$T$30,2,FALSE)+0,IF($H$4="Marbagan",VLOOKUP(Características!$E$33,Características!$A$2:$T$30,6,FALSE)+0,IF($H$4="Mibu",VLOOKUP(Características!$E$33,Características!$A$2:$T$30,5,FALSE)+1,IF($H$4="Nitilo",VLOOKUP(Características!$E$33,Características!$A$2:$T$30,13,FALSE)+4,IF($H$4="Ogni",VLOOKUP(Características!$E$33,Características!$A$2:$T$30,12,FALSE)+4,IF($H$4="Oliero",VLOOKUP(Características!$E$33,Características!$A$2:$T$30,2,FALSE)+0,IF($H$4="Orbitra",VLOOKUP(Características!$E$33,Características!$A$2:$T$30,2,FALSE)+0,IF($H$4="Qatar",VLOOKUP(Características!$E$33,Características!$A$2:$T$30,5,FALSE)+0,IF($H$4="Sheller",VLOOKUP(Características!$E$33,Características!$A$2:$T$30,5,FALSE)+0,IF($H$4="Silvano",VLOOKUP(Características!$E$33,Características!$A$2:$T$30,2,FALSE)+0,IF($H$4="Tyrano",VLOOKUP(Características!$E$33,Características!$A$2:$T$30,20,FALSE)+4,IF($H$4="Ukaro",VLOOKUP(Características!$E$33,Características!$A$2:$T$30,7,FALSE)+1,IF($H$4="Veddio",VLOOKUP(Características!$E$33,Características!$A$2:$T$30,3,FALSE)+0,IF($H$4="Verriano",VLOOKUP(Características!$E$33,Características!$A$2:$T$30,20,FALSE)+3,IF($H$4="Wu",VLOOKUP(Características!$E$33,Características!$A$2:$T$30,5,FALSE)+1,IF($H$4="Xenfer",VLOOKUP(Características!$E$33,Características!$A$2:$T$30,2,FALSE)+0,IF($H$4="Yemer",VLOOKUP(Características!$E$33,Características!$A$2:$T$30,3,FALSE)+0,IF($H$4="Yrr",VLOOKUP(Características!$E$33,Características!$A$2:$T$30,2,FALSE)+0,IF($H$4="Zelonita",VLOOKUP(Características!$E$33,Características!$A$2:$T$30,2,FALSE)+2,"Escoja especie")))))))))))))))))))))))))))))))))))))+IF($T$6="+",-1,IF($T$6="-",1,0))</f>
        <v>0</v>
      </c>
      <c r="AL8" s="26"/>
      <c r="AM8" s="96" t="s">
        <v>116</v>
      </c>
      <c r="AN8" s="91">
        <f ca="1">+PRODUCT($G$9,7)</f>
        <v>28</v>
      </c>
    </row>
    <row r="9" spans="1:40" ht="23.25" x14ac:dyDescent="0.2">
      <c r="A9" s="82"/>
      <c r="B9" s="86" t="s">
        <v>6</v>
      </c>
      <c r="C9" s="36"/>
      <c r="D9" s="36"/>
      <c r="E9" s="36"/>
      <c r="F9" s="36"/>
      <c r="G9" s="37">
        <f ca="1">+ROUNDDOWN((G$8/2),0)</f>
        <v>4</v>
      </c>
      <c r="H9" s="86" t="s">
        <v>9</v>
      </c>
      <c r="I9" s="36"/>
      <c r="J9" s="36"/>
      <c r="K9" s="36"/>
      <c r="L9" s="36"/>
      <c r="M9" s="37">
        <f ca="1">+ROUNDDOWN(M$8/2,0)</f>
        <v>2</v>
      </c>
      <c r="N9" s="86" t="s">
        <v>12</v>
      </c>
      <c r="O9" s="36"/>
      <c r="P9" s="36"/>
      <c r="Q9" s="36"/>
      <c r="R9" s="36"/>
      <c r="S9" s="37">
        <f ca="1">+ROUNDDOWN(S$8/2,0)</f>
        <v>4</v>
      </c>
      <c r="T9" s="86" t="s">
        <v>15</v>
      </c>
      <c r="U9" s="36"/>
      <c r="V9" s="36"/>
      <c r="W9" s="36"/>
      <c r="X9" s="36"/>
      <c r="Y9" s="37">
        <f ca="1">+ROUNDDOWN(Y$8/2,0)</f>
        <v>4</v>
      </c>
      <c r="Z9" s="86" t="s">
        <v>18</v>
      </c>
      <c r="AA9" s="36"/>
      <c r="AB9" s="36"/>
      <c r="AC9" s="36"/>
      <c r="AD9" s="36"/>
      <c r="AE9" s="37">
        <f ca="1">+ROUNDDOWN(AE$8/2,0)</f>
        <v>2</v>
      </c>
      <c r="AF9" s="86" t="s">
        <v>21</v>
      </c>
      <c r="AG9" s="36"/>
      <c r="AH9" s="36"/>
      <c r="AI9" s="36"/>
      <c r="AJ9" s="36"/>
      <c r="AK9" s="37">
        <f ca="1">+ROUNDDOWN(AK$8/2,0)</f>
        <v>0</v>
      </c>
      <c r="AL9" s="26"/>
      <c r="AM9" s="95" t="s">
        <v>117</v>
      </c>
      <c r="AN9" s="44">
        <f ca="1">+PRODUCT($Y$10,0.5)</f>
        <v>2</v>
      </c>
    </row>
    <row r="10" spans="1:40" ht="23.25" x14ac:dyDescent="0.2">
      <c r="A10" s="82"/>
      <c r="B10" s="87" t="s">
        <v>7</v>
      </c>
      <c r="C10" s="38"/>
      <c r="D10" s="38"/>
      <c r="E10" s="38"/>
      <c r="F10" s="38"/>
      <c r="G10" s="37">
        <f t="shared" ref="G10:G11" ca="1" si="0">+ROUNDDOWN((G$8/2),0)</f>
        <v>4</v>
      </c>
      <c r="H10" s="87" t="s">
        <v>11</v>
      </c>
      <c r="I10" s="38"/>
      <c r="J10" s="38"/>
      <c r="K10" s="38"/>
      <c r="L10" s="38"/>
      <c r="M10" s="37">
        <f t="shared" ref="M10:M11" ca="1" si="1">+ROUNDDOWN(M$8/2,0)</f>
        <v>2</v>
      </c>
      <c r="N10" s="87" t="s">
        <v>13</v>
      </c>
      <c r="O10" s="38"/>
      <c r="P10" s="38"/>
      <c r="Q10" s="38"/>
      <c r="R10" s="38"/>
      <c r="S10" s="37">
        <f t="shared" ref="S10:S11" ca="1" si="2">+ROUNDDOWN(S$8/2,0)</f>
        <v>4</v>
      </c>
      <c r="T10" s="87" t="s">
        <v>16</v>
      </c>
      <c r="U10" s="38"/>
      <c r="V10" s="38"/>
      <c r="W10" s="38"/>
      <c r="X10" s="38"/>
      <c r="Y10" s="37">
        <f t="shared" ref="Y10:Y11" ca="1" si="3">+ROUNDDOWN(Y$8/2,0)</f>
        <v>4</v>
      </c>
      <c r="Z10" s="87" t="s">
        <v>19</v>
      </c>
      <c r="AA10" s="38"/>
      <c r="AB10" s="38"/>
      <c r="AC10" s="38"/>
      <c r="AD10" s="38"/>
      <c r="AE10" s="37">
        <f t="shared" ref="AE10:AE11" ca="1" si="4">+ROUNDDOWN(AE$8/2,0)</f>
        <v>2</v>
      </c>
      <c r="AF10" s="87" t="s">
        <v>22</v>
      </c>
      <c r="AG10" s="38"/>
      <c r="AH10" s="38"/>
      <c r="AI10" s="38"/>
      <c r="AJ10" s="38"/>
      <c r="AK10" s="37">
        <f t="shared" ref="AK10:AK11" ca="1" si="5">+ROUNDDOWN(AK$8/2,0)</f>
        <v>0</v>
      </c>
      <c r="AL10" s="26"/>
      <c r="AM10" s="96" t="s">
        <v>118</v>
      </c>
      <c r="AN10" s="91" t="str">
        <f ca="1">+$G$11/2&amp;" min."</f>
        <v>2 min.</v>
      </c>
    </row>
    <row r="11" spans="1:40" ht="24" thickBot="1" x14ac:dyDescent="0.25">
      <c r="A11" s="82"/>
      <c r="B11" s="87" t="s">
        <v>8</v>
      </c>
      <c r="C11" s="38"/>
      <c r="D11" s="38"/>
      <c r="E11" s="38"/>
      <c r="F11" s="38"/>
      <c r="G11" s="85">
        <f t="shared" ca="1" si="0"/>
        <v>4</v>
      </c>
      <c r="H11" s="87" t="s">
        <v>10</v>
      </c>
      <c r="I11" s="38"/>
      <c r="J11" s="38"/>
      <c r="K11" s="38"/>
      <c r="L11" s="38"/>
      <c r="M11" s="85">
        <f t="shared" ca="1" si="1"/>
        <v>2</v>
      </c>
      <c r="N11" s="87" t="s">
        <v>14</v>
      </c>
      <c r="O11" s="38"/>
      <c r="P11" s="38"/>
      <c r="Q11" s="38"/>
      <c r="R11" s="38"/>
      <c r="S11" s="85">
        <f t="shared" ca="1" si="2"/>
        <v>4</v>
      </c>
      <c r="T11" s="87" t="s">
        <v>17</v>
      </c>
      <c r="U11" s="38"/>
      <c r="V11" s="38"/>
      <c r="W11" s="38"/>
      <c r="X11" s="38"/>
      <c r="Y11" s="85">
        <f t="shared" ca="1" si="3"/>
        <v>4</v>
      </c>
      <c r="Z11" s="87" t="s">
        <v>20</v>
      </c>
      <c r="AA11" s="38"/>
      <c r="AB11" s="38"/>
      <c r="AC11" s="38"/>
      <c r="AD11" s="38"/>
      <c r="AE11" s="85">
        <f t="shared" ca="1" si="4"/>
        <v>2</v>
      </c>
      <c r="AF11" s="87" t="s">
        <v>23</v>
      </c>
      <c r="AG11" s="38"/>
      <c r="AH11" s="38"/>
      <c r="AI11" s="38"/>
      <c r="AJ11" s="38"/>
      <c r="AK11" s="85">
        <f t="shared" ca="1" si="5"/>
        <v>0</v>
      </c>
      <c r="AL11" s="26"/>
      <c r="AM11" s="97" t="s">
        <v>119</v>
      </c>
      <c r="AN11" s="45">
        <f ca="1">+$G$10</f>
        <v>4</v>
      </c>
    </row>
    <row r="12" spans="1:40" ht="19.5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s="19" customFormat="1" ht="18" x14ac:dyDescent="0.2">
      <c r="A13" s="42"/>
      <c r="B13" s="39" t="s">
        <v>24</v>
      </c>
      <c r="C13" s="39" t="s">
        <v>277</v>
      </c>
      <c r="D13" s="39" t="s">
        <v>278</v>
      </c>
      <c r="E13" s="39" t="s">
        <v>292</v>
      </c>
      <c r="F13" s="39" t="s">
        <v>288</v>
      </c>
      <c r="G13" s="39" t="s">
        <v>279</v>
      </c>
      <c r="H13" s="39" t="s">
        <v>50</v>
      </c>
      <c r="I13" s="39" t="s">
        <v>277</v>
      </c>
      <c r="J13" s="39" t="s">
        <v>278</v>
      </c>
      <c r="K13" s="39" t="s">
        <v>292</v>
      </c>
      <c r="L13" s="39" t="s">
        <v>288</v>
      </c>
      <c r="M13" s="41" t="s">
        <v>279</v>
      </c>
      <c r="N13" s="39" t="s">
        <v>59</v>
      </c>
      <c r="O13" s="39" t="s">
        <v>277</v>
      </c>
      <c r="P13" s="39" t="s">
        <v>278</v>
      </c>
      <c r="Q13" s="39" t="s">
        <v>292</v>
      </c>
      <c r="R13" s="39" t="s">
        <v>288</v>
      </c>
      <c r="S13" s="39" t="s">
        <v>279</v>
      </c>
      <c r="T13" s="39" t="s">
        <v>69</v>
      </c>
      <c r="U13" s="39" t="s">
        <v>277</v>
      </c>
      <c r="V13" s="39" t="s">
        <v>278</v>
      </c>
      <c r="W13" s="39" t="s">
        <v>292</v>
      </c>
      <c r="X13" s="39" t="s">
        <v>288</v>
      </c>
      <c r="Y13" s="39" t="s">
        <v>279</v>
      </c>
      <c r="Z13" s="39" t="s">
        <v>80</v>
      </c>
      <c r="AA13" s="39" t="s">
        <v>277</v>
      </c>
      <c r="AB13" s="39" t="s">
        <v>278</v>
      </c>
      <c r="AC13" s="39" t="s">
        <v>292</v>
      </c>
      <c r="AD13" s="39" t="s">
        <v>288</v>
      </c>
      <c r="AE13" s="39" t="s">
        <v>279</v>
      </c>
      <c r="AF13" s="39" t="s">
        <v>92</v>
      </c>
      <c r="AG13" s="39" t="s">
        <v>277</v>
      </c>
      <c r="AH13" s="39" t="s">
        <v>278</v>
      </c>
      <c r="AI13" s="39" t="s">
        <v>292</v>
      </c>
      <c r="AJ13" s="39" t="s">
        <v>288</v>
      </c>
      <c r="AK13" s="39" t="s">
        <v>279</v>
      </c>
      <c r="AL13" s="50"/>
      <c r="AM13" s="107" t="s">
        <v>430</v>
      </c>
      <c r="AN13" s="108"/>
    </row>
    <row r="14" spans="1:40" s="19" customFormat="1" ht="15.75" x14ac:dyDescent="0.2">
      <c r="A14" s="42"/>
      <c r="B14" s="60" t="s">
        <v>25</v>
      </c>
      <c r="C14" s="61">
        <f t="shared" ref="C14:C26" ca="1" si="6">+$S$9</f>
        <v>4</v>
      </c>
      <c r="D14" s="61">
        <f ca="1">+MIN(C14,MAX(D15:D20))</f>
        <v>0</v>
      </c>
      <c r="E14" s="62"/>
      <c r="F14" s="63"/>
      <c r="G14" s="64">
        <f ca="1">+SUM(C14,D14)</f>
        <v>4</v>
      </c>
      <c r="H14" s="60" t="s">
        <v>51</v>
      </c>
      <c r="I14" s="61">
        <f ca="1">+$G$10</f>
        <v>4</v>
      </c>
      <c r="J14" s="61" t="str">
        <f>+IF($H$5="Camorrista",8,IF(OR($H$5="Cazarrecompensas",$H$5="Reportero gráfico"),7,IF($H$5="Deportista",11,IF(OR($H$5="Piloto de combate",$H$5="Soldado"),6,IF($H$5="Seguridad",5," ")))))</f>
        <v xml:space="preserve"> </v>
      </c>
      <c r="K14" s="62"/>
      <c r="L14" s="63">
        <f t="shared" ref="L14:L20" si="7">IF(J14&lt;&gt;" ",+$O$6,0)</f>
        <v>0</v>
      </c>
      <c r="M14" s="64">
        <f ca="1">+SUM(I14:L14)</f>
        <v>4</v>
      </c>
      <c r="N14" s="60" t="s">
        <v>60</v>
      </c>
      <c r="O14" s="61">
        <f ca="1">+$M$9</f>
        <v>2</v>
      </c>
      <c r="P14" s="61" t="str">
        <f>+IF($H$5="Miliciano",10," ")</f>
        <v xml:space="preserve"> </v>
      </c>
      <c r="Q14" s="62"/>
      <c r="R14" s="63">
        <f>IF(P14&lt;&gt;" ",+$O$6,0)</f>
        <v>0</v>
      </c>
      <c r="S14" s="64">
        <f ca="1">+SUM(O14:R14)</f>
        <v>2</v>
      </c>
      <c r="T14" s="60" t="s">
        <v>71</v>
      </c>
      <c r="U14" s="61">
        <f ca="1">+$AE$9</f>
        <v>2</v>
      </c>
      <c r="V14" s="61" t="str">
        <f>+IF(OR($H$5="Cazarrecompensas",$H$5="Oficial militar"),6,IF(OR($H$5="Hacker",$H$5="Ilustrado"),10,IF($H$5="Político",8,IF($H$5="Seguridad",5," "))))</f>
        <v xml:space="preserve"> </v>
      </c>
      <c r="W14" s="62"/>
      <c r="X14" s="63">
        <f t="shared" ref="X14:X23" si="8">IF(V14&lt;&gt;" ",+$O$6,0)</f>
        <v>0</v>
      </c>
      <c r="Y14" s="64">
        <f ca="1">+SUM(U14:X14)</f>
        <v>2</v>
      </c>
      <c r="Z14" s="60" t="s">
        <v>81</v>
      </c>
      <c r="AA14" s="61">
        <f ca="1">+$Y$10</f>
        <v>4</v>
      </c>
      <c r="AB14" s="61">
        <f ca="1">+MIN(AA14,MAX(AB15:AB18))</f>
        <v>0</v>
      </c>
      <c r="AC14" s="62"/>
      <c r="AD14" s="63"/>
      <c r="AE14" s="64">
        <f ca="1">+SUM(AA14,AB14)</f>
        <v>4</v>
      </c>
      <c r="AF14" s="60" t="s">
        <v>93</v>
      </c>
      <c r="AG14" s="61">
        <f ca="1">+$M$10</f>
        <v>2</v>
      </c>
      <c r="AH14" s="61" t="str">
        <f>+IF(OR($H$5="Agente",$H$5="Estafador"),7,IF($H$5="Hacker",10,IF($H$5="Seguridad",5," ")))</f>
        <v xml:space="preserve"> </v>
      </c>
      <c r="AI14" s="62"/>
      <c r="AJ14" s="63">
        <f>IF(AH14&lt;&gt;" ",+$O$6,0)</f>
        <v>0</v>
      </c>
      <c r="AK14" s="64">
        <f ca="1">+SUM(AG14:AJ14)</f>
        <v>2</v>
      </c>
      <c r="AL14" s="50"/>
      <c r="AM14" s="47" t="str">
        <f ca="1">+VLOOKUP(RANDBETWEEN(1,100),'Virtudes y defectos'!$A$7:$B$106,2,FALSE)</f>
        <v>Nada especial</v>
      </c>
      <c r="AN14" s="51" t="str">
        <f ca="1">+IF(AM14="Nada especial","-",'Virtudes y defectos'!$B$3)</f>
        <v>-</v>
      </c>
    </row>
    <row r="15" spans="1:40" s="19" customFormat="1" ht="15.75" x14ac:dyDescent="0.2">
      <c r="A15" s="42"/>
      <c r="B15" s="65" t="s">
        <v>26</v>
      </c>
      <c r="C15" s="61">
        <f t="shared" ca="1" si="6"/>
        <v>4</v>
      </c>
      <c r="D15" s="61" t="str">
        <f>+IF($H$5="Diletante",10,IF($H$5="Seguridad",5," "))</f>
        <v xml:space="preserve"> </v>
      </c>
      <c r="E15" s="66"/>
      <c r="F15" s="63">
        <f t="shared" ref="F15:F20" si="9">IF(D15&lt;&gt;" ",+$O$6,0)</f>
        <v>0</v>
      </c>
      <c r="G15" s="64">
        <f ca="1">+MAX(SUM(C15:F15),$G$14)</f>
        <v>4</v>
      </c>
      <c r="H15" s="60" t="s">
        <v>52</v>
      </c>
      <c r="I15" s="61">
        <f ca="1">+$M$9</f>
        <v>2</v>
      </c>
      <c r="J15" s="61" t="str">
        <f>+IF($H$5="Deportista",10,IF(OR($H$5="Miliciano",$H$5="Prospector",$H$5="Seguridad"),5," "))</f>
        <v xml:space="preserve"> </v>
      </c>
      <c r="K15" s="66"/>
      <c r="L15" s="63">
        <f t="shared" si="7"/>
        <v>0</v>
      </c>
      <c r="M15" s="64">
        <f t="shared" ref="M15:M20" ca="1" si="10">+SUM(I15:L15)</f>
        <v>2</v>
      </c>
      <c r="N15" s="60" t="s">
        <v>61</v>
      </c>
      <c r="O15" s="61">
        <f ca="1">+$M$9</f>
        <v>2</v>
      </c>
      <c r="P15" s="61" t="str">
        <f>+IF($H$5="Soldado",8," ")</f>
        <v xml:space="preserve"> </v>
      </c>
      <c r="Q15" s="66"/>
      <c r="R15" s="63">
        <f>IF(P15&lt;&gt;" ",+$O$6,0)</f>
        <v>0</v>
      </c>
      <c r="S15" s="64">
        <f t="shared" ref="S15:S16" ca="1" si="11">+SUM(O15:R15)</f>
        <v>2</v>
      </c>
      <c r="T15" s="60" t="s">
        <v>72</v>
      </c>
      <c r="U15" s="61">
        <f ca="1">+$S$11</f>
        <v>4</v>
      </c>
      <c r="V15" s="61"/>
      <c r="W15" s="66"/>
      <c r="X15" s="63">
        <f t="shared" si="8"/>
        <v>0</v>
      </c>
      <c r="Y15" s="64">
        <f t="shared" ref="Y15:Y23" ca="1" si="12">+SUM(U15:X15)</f>
        <v>4</v>
      </c>
      <c r="Z15" s="65" t="s">
        <v>82</v>
      </c>
      <c r="AA15" s="61">
        <f ca="1">+$Y$10</f>
        <v>4</v>
      </c>
      <c r="AB15" s="61" t="s">
        <v>287</v>
      </c>
      <c r="AC15" s="66"/>
      <c r="AD15" s="63">
        <f t="shared" ref="AD15:AD24" si="13">IF(AB15&lt;&gt;" ",+$O$6,0)</f>
        <v>0</v>
      </c>
      <c r="AE15" s="64">
        <f ca="1">+MAX(SUM(AA15:AD15),$AE$14)</f>
        <v>4</v>
      </c>
      <c r="AF15" s="60" t="s">
        <v>94</v>
      </c>
      <c r="AG15" s="61">
        <f ca="1">+$M$10</f>
        <v>2</v>
      </c>
      <c r="AH15" s="61">
        <f ca="1">+MIN(AG15,MAX(AH16:AH18))</f>
        <v>0</v>
      </c>
      <c r="AI15" s="66"/>
      <c r="AJ15" s="63"/>
      <c r="AK15" s="64">
        <f ca="1">+SUM(AG15,AH15)</f>
        <v>2</v>
      </c>
      <c r="AL15" s="50"/>
      <c r="AM15" s="48" t="str">
        <f ca="1">+VLOOKUP(RANDBETWEEN(1,100),'Virtudes y defectos'!$A$7:$B$106,2,FALSE)</f>
        <v>Ingenioso</v>
      </c>
      <c r="AN15" s="52" t="str">
        <f ca="1">+IF(AM15="Nada especial","-",'Virtudes y defectos'!$C$3)</f>
        <v>N</v>
      </c>
    </row>
    <row r="16" spans="1:40" s="19" customFormat="1" ht="15.75" x14ac:dyDescent="0.2">
      <c r="A16" s="42"/>
      <c r="B16" s="65" t="s">
        <v>27</v>
      </c>
      <c r="C16" s="61">
        <f t="shared" ca="1" si="6"/>
        <v>4</v>
      </c>
      <c r="D16" s="61" t="str">
        <f>+IF($H$5="Misionero",10," ")</f>
        <v xml:space="preserve"> </v>
      </c>
      <c r="E16" s="66"/>
      <c r="F16" s="63">
        <f t="shared" si="9"/>
        <v>0</v>
      </c>
      <c r="G16" s="64">
        <f t="shared" ref="G16:G20" ca="1" si="14">+MAX(SUM(C16:F16),$G$14)</f>
        <v>4</v>
      </c>
      <c r="H16" s="60" t="s">
        <v>53</v>
      </c>
      <c r="I16" s="61">
        <f ca="1">+$M$9</f>
        <v>2</v>
      </c>
      <c r="J16" s="61" t="str">
        <f>+IF($H$5="Explorador",13,IF($H$5="Mercante",8,IF(OR($H$5="Tecno",$H$5="Piloto de combate"),6,IF($H$5="Prospector",10,IF($H$5="Soldado",15," ")))))</f>
        <v xml:space="preserve"> </v>
      </c>
      <c r="K16" s="66"/>
      <c r="L16" s="63">
        <f t="shared" si="7"/>
        <v>0</v>
      </c>
      <c r="M16" s="64">
        <f t="shared" ca="1" si="10"/>
        <v>2</v>
      </c>
      <c r="N16" s="60" t="s">
        <v>62</v>
      </c>
      <c r="O16" s="61">
        <f ca="1">+$M$9</f>
        <v>2</v>
      </c>
      <c r="P16" s="61" t="str">
        <f>+IF($H$5="Camorrista",9,IF($H$5="Cazarrecompensas",8," "))</f>
        <v xml:space="preserve"> </v>
      </c>
      <c r="Q16" s="66"/>
      <c r="R16" s="63">
        <f>IF(P16&lt;&gt;" ",+$O$6,0)</f>
        <v>0</v>
      </c>
      <c r="S16" s="64">
        <f t="shared" ca="1" si="11"/>
        <v>2</v>
      </c>
      <c r="T16" s="60" t="s">
        <v>73</v>
      </c>
      <c r="U16" s="61">
        <f ca="1">+$S$11</f>
        <v>4</v>
      </c>
      <c r="V16" s="61" t="str">
        <f>+IF(OR($H$5="Agente",$H$5="Reportero gráfico"),7,IF(OR($H$5="Estafador",$H$5="Hacker"),5," "))</f>
        <v xml:space="preserve"> </v>
      </c>
      <c r="W16" s="66"/>
      <c r="X16" s="63">
        <f t="shared" si="8"/>
        <v>0</v>
      </c>
      <c r="Y16" s="64">
        <f t="shared" ca="1" si="12"/>
        <v>4</v>
      </c>
      <c r="Z16" s="65" t="s">
        <v>83</v>
      </c>
      <c r="AA16" s="61">
        <f ca="1">+$Y$10</f>
        <v>4</v>
      </c>
      <c r="AB16" s="61" t="s">
        <v>287</v>
      </c>
      <c r="AC16" s="66"/>
      <c r="AD16" s="63">
        <f t="shared" si="13"/>
        <v>0</v>
      </c>
      <c r="AE16" s="64">
        <f t="shared" ref="AE16:AE18" ca="1" si="15">+MAX(SUM(AA16:AD16),$AE$14)</f>
        <v>4</v>
      </c>
      <c r="AF16" s="65" t="s">
        <v>95</v>
      </c>
      <c r="AG16" s="61">
        <f ca="1">+$M$10</f>
        <v>2</v>
      </c>
      <c r="AH16" s="61" t="str">
        <f>+IF($H$5="Piloto de combate",10,IF($H$5="Seguridad",5," "))</f>
        <v xml:space="preserve"> </v>
      </c>
      <c r="AI16" s="66"/>
      <c r="AJ16" s="63">
        <f>IF(AH16&lt;&gt;" ",+$O$6,0)</f>
        <v>0</v>
      </c>
      <c r="AK16" s="64">
        <f ca="1">+MAX(SUM(AG16:AJ16),$AK$15)</f>
        <v>2</v>
      </c>
      <c r="AL16" s="50"/>
      <c r="AM16" s="47" t="str">
        <f ca="1">+VLOOKUP(RANDBETWEEN(1,100),'Virtudes y defectos'!$A$7:$B$106,2,FALSE)</f>
        <v>Nada especial</v>
      </c>
      <c r="AN16" s="51" t="str">
        <f ca="1">+IF(AM16="Nada especial","-",'Virtudes y defectos'!$D$3)</f>
        <v>-</v>
      </c>
    </row>
    <row r="17" spans="1:40" s="19" customFormat="1" ht="15.75" x14ac:dyDescent="0.2">
      <c r="A17" s="42"/>
      <c r="B17" s="65" t="s">
        <v>28</v>
      </c>
      <c r="C17" s="61">
        <f t="shared" ca="1" si="6"/>
        <v>4</v>
      </c>
      <c r="D17" s="61" t="str">
        <f>+IF(OR($H$5="Diletante",$H$5="Ilustrado"),10," ")</f>
        <v xml:space="preserve"> </v>
      </c>
      <c r="E17" s="66"/>
      <c r="F17" s="63">
        <f t="shared" si="9"/>
        <v>0</v>
      </c>
      <c r="G17" s="64">
        <f t="shared" ca="1" si="14"/>
        <v>4</v>
      </c>
      <c r="H17" s="60" t="s">
        <v>54</v>
      </c>
      <c r="I17" s="61">
        <f ca="1">+$G$9</f>
        <v>4</v>
      </c>
      <c r="J17" s="61" t="s">
        <v>287</v>
      </c>
      <c r="K17" s="66"/>
      <c r="L17" s="63">
        <f t="shared" si="7"/>
        <v>0</v>
      </c>
      <c r="M17" s="64">
        <f t="shared" ca="1" si="10"/>
        <v>4</v>
      </c>
      <c r="N17" s="67" t="s">
        <v>63</v>
      </c>
      <c r="O17" s="61">
        <f ca="1">+$G$9</f>
        <v>4</v>
      </c>
      <c r="P17" s="61">
        <f ca="1">+MIN(O17,MAX(P18:P20))</f>
        <v>0</v>
      </c>
      <c r="Q17" s="66"/>
      <c r="R17" s="63"/>
      <c r="S17" s="64">
        <f t="shared" ref="S17" ca="1" si="16">+SUM(O17,P17)</f>
        <v>4</v>
      </c>
      <c r="T17" s="60" t="s">
        <v>74</v>
      </c>
      <c r="U17" s="61">
        <f ca="1">+$S$11</f>
        <v>4</v>
      </c>
      <c r="V17" s="61" t="str">
        <f>+IF($H$5="Estafador",8,IF($H$5="Hacker",5,IF($H$5="Reportero gráfico",7," ")))</f>
        <v xml:space="preserve"> </v>
      </c>
      <c r="W17" s="66"/>
      <c r="X17" s="63">
        <f t="shared" si="8"/>
        <v>0</v>
      </c>
      <c r="Y17" s="64">
        <f t="shared" ca="1" si="12"/>
        <v>4</v>
      </c>
      <c r="Z17" s="65" t="s">
        <v>84</v>
      </c>
      <c r="AA17" s="61">
        <f ca="1">+$Y$10</f>
        <v>4</v>
      </c>
      <c r="AB17" s="61" t="s">
        <v>287</v>
      </c>
      <c r="AC17" s="66"/>
      <c r="AD17" s="63">
        <f t="shared" si="13"/>
        <v>0</v>
      </c>
      <c r="AE17" s="64">
        <f t="shared" ca="1" si="15"/>
        <v>4</v>
      </c>
      <c r="AF17" s="65" t="s">
        <v>96</v>
      </c>
      <c r="AG17" s="61">
        <f ca="1">+$M$10</f>
        <v>2</v>
      </c>
      <c r="AH17" s="61" t="s">
        <v>287</v>
      </c>
      <c r="AI17" s="66"/>
      <c r="AJ17" s="63">
        <f>IF(AH17&lt;&gt;" ",+$O$6,0)</f>
        <v>0</v>
      </c>
      <c r="AK17" s="64">
        <f t="shared" ref="AK17:AK18" ca="1" si="17">+MAX(SUM(AG17:AJ17),$AK$15)</f>
        <v>2</v>
      </c>
      <c r="AL17" s="50"/>
      <c r="AM17" s="48" t="str">
        <f ca="1">+'Virtudes y defectos'!$N$1</f>
        <v>Nada especial</v>
      </c>
      <c r="AN17" s="53"/>
    </row>
    <row r="18" spans="1:40" s="19" customFormat="1" ht="15.75" x14ac:dyDescent="0.2">
      <c r="A18" s="42"/>
      <c r="B18" s="65" t="s">
        <v>29</v>
      </c>
      <c r="C18" s="61">
        <f t="shared" ca="1" si="6"/>
        <v>4</v>
      </c>
      <c r="D18" s="61" t="str">
        <f>+IF($H$5="Hacker",4,IF($H$5="Político",8,IF($H$5="Seguridad",10," ")))</f>
        <v xml:space="preserve"> </v>
      </c>
      <c r="E18" s="66"/>
      <c r="F18" s="63">
        <f t="shared" si="9"/>
        <v>0</v>
      </c>
      <c r="G18" s="64">
        <f t="shared" ca="1" si="14"/>
        <v>4</v>
      </c>
      <c r="H18" s="67" t="s">
        <v>55</v>
      </c>
      <c r="I18" s="61">
        <f ca="1">+$M$9</f>
        <v>2</v>
      </c>
      <c r="J18" s="61" t="s">
        <v>287</v>
      </c>
      <c r="K18" s="66"/>
      <c r="L18" s="63">
        <f t="shared" si="7"/>
        <v>0</v>
      </c>
      <c r="M18" s="64">
        <f t="shared" ca="1" si="10"/>
        <v>2</v>
      </c>
      <c r="N18" s="68" t="s">
        <v>64</v>
      </c>
      <c r="O18" s="61">
        <f ca="1">+$G$9</f>
        <v>4</v>
      </c>
      <c r="P18" s="61" t="str">
        <f>+IF($H$5="Soldado",13," ")</f>
        <v xml:space="preserve"> </v>
      </c>
      <c r="Q18" s="66"/>
      <c r="R18" s="63">
        <f t="shared" ref="R18:R23" si="18">IF(P18&lt;&gt;" ",+$O$6,0)</f>
        <v>0</v>
      </c>
      <c r="S18" s="64">
        <f ca="1">+MAX(SUM(O18:R18),$S$17)</f>
        <v>4</v>
      </c>
      <c r="T18" s="60" t="s">
        <v>75</v>
      </c>
      <c r="U18" s="61">
        <f ca="1">+$AE$10</f>
        <v>2</v>
      </c>
      <c r="V18" s="61" t="str">
        <f>+IF($H$5="Científico",8,IF($H$5="Comerciante",6," "))</f>
        <v xml:space="preserve"> </v>
      </c>
      <c r="W18" s="66"/>
      <c r="X18" s="63">
        <f t="shared" si="8"/>
        <v>0</v>
      </c>
      <c r="Y18" s="64">
        <f t="shared" ca="1" si="12"/>
        <v>2</v>
      </c>
      <c r="Z18" s="65" t="s">
        <v>85</v>
      </c>
      <c r="AA18" s="61">
        <f ca="1">+$Y$10</f>
        <v>4</v>
      </c>
      <c r="AB18" s="61" t="str">
        <f>+IF($H$5="Conductor",6,IF($H$5="Misionero",10," "))</f>
        <v xml:space="preserve"> </v>
      </c>
      <c r="AC18" s="66"/>
      <c r="AD18" s="63">
        <f t="shared" si="13"/>
        <v>0</v>
      </c>
      <c r="AE18" s="64">
        <f t="shared" ca="1" si="15"/>
        <v>4</v>
      </c>
      <c r="AF18" s="65" t="s">
        <v>97</v>
      </c>
      <c r="AG18" s="61">
        <f ca="1">+$M$10</f>
        <v>2</v>
      </c>
      <c r="AH18" s="61" t="str">
        <f>+IF($H$5="Conductor",9,IF($H$5="Político",5,IF($H$5="Soldado",7," ")))</f>
        <v xml:space="preserve"> </v>
      </c>
      <c r="AI18" s="66"/>
      <c r="AJ18" s="63">
        <f>IF(AH18&lt;&gt;" ",+$O$6,0)</f>
        <v>0</v>
      </c>
      <c r="AK18" s="64">
        <f t="shared" ca="1" si="17"/>
        <v>2</v>
      </c>
      <c r="AL18" s="50"/>
      <c r="AM18" s="47" t="str">
        <f ca="1">+'Virtudes y defectos'!$N$2</f>
        <v>Distraido</v>
      </c>
      <c r="AN18" s="54"/>
    </row>
    <row r="19" spans="1:40" s="19" customFormat="1" ht="15.75" x14ac:dyDescent="0.2">
      <c r="A19" s="42"/>
      <c r="B19" s="65" t="s">
        <v>30</v>
      </c>
      <c r="C19" s="61">
        <f t="shared" ca="1" si="6"/>
        <v>4</v>
      </c>
      <c r="D19" s="61" t="str">
        <f>+IF(OR($H$5="Conductor",$H$5="Protocolo",$H$5="Reportero gráfico"),5,IF($H$5="Ilustrado",13,IF($H$5="Misionero",10,IF($H$5="Político",9," "))))</f>
        <v xml:space="preserve"> </v>
      </c>
      <c r="E19" s="66"/>
      <c r="F19" s="63">
        <f t="shared" si="9"/>
        <v>0</v>
      </c>
      <c r="G19" s="64">
        <f t="shared" ca="1" si="14"/>
        <v>4</v>
      </c>
      <c r="H19" s="60" t="s">
        <v>56</v>
      </c>
      <c r="I19" s="61">
        <f ca="1">+$M$9</f>
        <v>2</v>
      </c>
      <c r="J19" s="61" t="str">
        <f>+IF($H$5="Deportista",9,IF(OR($H$5="Miliciano",$H$5="Prospector",$H$5="Seguridad"),5," "))</f>
        <v xml:space="preserve"> </v>
      </c>
      <c r="K19" s="66"/>
      <c r="L19" s="63">
        <f t="shared" si="7"/>
        <v>0</v>
      </c>
      <c r="M19" s="64">
        <f t="shared" ca="1" si="10"/>
        <v>2</v>
      </c>
      <c r="N19" s="68" t="s">
        <v>65</v>
      </c>
      <c r="O19" s="61">
        <f ca="1">+$G$9</f>
        <v>4</v>
      </c>
      <c r="P19" s="61" t="s">
        <v>287</v>
      </c>
      <c r="Q19" s="66"/>
      <c r="R19" s="63">
        <f t="shared" si="18"/>
        <v>0</v>
      </c>
      <c r="S19" s="64">
        <f t="shared" ref="S19:S20" ca="1" si="19">+MAX(SUM(O19:R19),$S$17)</f>
        <v>4</v>
      </c>
      <c r="T19" s="60" t="s">
        <v>76</v>
      </c>
      <c r="U19" s="61">
        <f ca="1">+$AE$11</f>
        <v>2</v>
      </c>
      <c r="V19" s="61" t="str">
        <f>+IF($H$5="Estafador",9,IF($H$5="Hacker",5," "))</f>
        <v xml:space="preserve"> </v>
      </c>
      <c r="W19" s="66"/>
      <c r="X19" s="63">
        <f t="shared" si="8"/>
        <v>0</v>
      </c>
      <c r="Y19" s="64">
        <f t="shared" ca="1" si="12"/>
        <v>2</v>
      </c>
      <c r="Z19" s="60" t="s">
        <v>86</v>
      </c>
      <c r="AA19" s="61">
        <f ca="1">+$AE$10</f>
        <v>2</v>
      </c>
      <c r="AB19" s="61" t="str">
        <f>+IF(OR($H$5="Cazarrecompensas",$H$5="Comerciante",$H$5="Hacker"),10,IF($H$5="Prospector",5," "))</f>
        <v xml:space="preserve"> </v>
      </c>
      <c r="AC19" s="66"/>
      <c r="AD19" s="63">
        <f t="shared" si="13"/>
        <v>0</v>
      </c>
      <c r="AE19" s="64">
        <f t="shared" ref="AE19:AE24" ca="1" si="20">+SUM(AA19:AD19)</f>
        <v>2</v>
      </c>
      <c r="AF19" s="67" t="s">
        <v>98</v>
      </c>
      <c r="AG19" s="61">
        <f ca="1">+$S$10</f>
        <v>4</v>
      </c>
      <c r="AH19" s="61" t="str">
        <f>+IF(OR($H$5="Miliciano",$H$5="Prospector"),10,IF($H$5="Soldado",7," "))</f>
        <v xml:space="preserve"> </v>
      </c>
      <c r="AI19" s="66"/>
      <c r="AJ19" s="63">
        <f>IF(AH19&lt;&gt;" ",+$O$6,0)</f>
        <v>0</v>
      </c>
      <c r="AK19" s="64">
        <f ca="1">+SUM(AG19:AJ19)</f>
        <v>4</v>
      </c>
      <c r="AL19" s="50"/>
      <c r="AM19" s="49" t="str">
        <f ca="1">+'Virtudes y defectos'!$N$3</f>
        <v>Nada especial</v>
      </c>
      <c r="AN19" s="49"/>
    </row>
    <row r="20" spans="1:40" s="19" customFormat="1" ht="15.75" x14ac:dyDescent="0.2">
      <c r="A20" s="42"/>
      <c r="B20" s="65" t="s">
        <v>31</v>
      </c>
      <c r="C20" s="61">
        <f t="shared" ca="1" si="6"/>
        <v>4</v>
      </c>
      <c r="D20" s="61" t="str">
        <f>+IF($H$5="Explorador",7,IF($H$5="Ilustrado",13,IF($H$5="Misionero",10,IF($H$5="Político",9,IF($H$5="Prospector",5," ")))))</f>
        <v xml:space="preserve"> </v>
      </c>
      <c r="E20" s="66"/>
      <c r="F20" s="63">
        <f t="shared" si="9"/>
        <v>0</v>
      </c>
      <c r="G20" s="64">
        <f t="shared" ca="1" si="14"/>
        <v>4</v>
      </c>
      <c r="H20" s="60" t="s">
        <v>57</v>
      </c>
      <c r="I20" s="61">
        <f ca="1">+$AE$11</f>
        <v>2</v>
      </c>
      <c r="J20" s="61" t="str">
        <f>+IF($H$5="Agente",11,IF($H$5="Explorador",9,IF(OR($H$5="Miliciano",$H$5="Seguridad"),5," ")))</f>
        <v xml:space="preserve"> </v>
      </c>
      <c r="K20" s="66"/>
      <c r="L20" s="63">
        <f t="shared" si="7"/>
        <v>0</v>
      </c>
      <c r="M20" s="64">
        <f t="shared" ca="1" si="10"/>
        <v>2</v>
      </c>
      <c r="N20" s="68" t="s">
        <v>66</v>
      </c>
      <c r="O20" s="61">
        <f ca="1">+$G$9</f>
        <v>4</v>
      </c>
      <c r="P20" s="61" t="s">
        <v>287</v>
      </c>
      <c r="Q20" s="66"/>
      <c r="R20" s="63">
        <f t="shared" si="18"/>
        <v>0</v>
      </c>
      <c r="S20" s="64">
        <f t="shared" ca="1" si="19"/>
        <v>4</v>
      </c>
      <c r="T20" s="60" t="s">
        <v>77</v>
      </c>
      <c r="U20" s="61">
        <f ca="1">+$AE$9</f>
        <v>2</v>
      </c>
      <c r="V20" s="61" t="str">
        <f>+IF(OR($H$5="Científico",$H$5="Médico",$H$5="Miliciano",$H$5="Protocolo",$H$5="Reportero gráfico"),8,IF($H$5="Explorador",6,IF(OR($H$5="Mercante",$H$5="Político"),9,IF(OR($H$5="Oficial militar",$H$5="Seguridad"),5,IF($H$5="Tecno",11,IF($H$5="Piloto de combate",7," "))))))</f>
        <v xml:space="preserve"> </v>
      </c>
      <c r="W20" s="66"/>
      <c r="X20" s="63">
        <f t="shared" si="8"/>
        <v>0</v>
      </c>
      <c r="Y20" s="64">
        <f t="shared" ca="1" si="12"/>
        <v>2</v>
      </c>
      <c r="Z20" s="60" t="s">
        <v>87</v>
      </c>
      <c r="AA20" s="61">
        <f ca="1">+$Y$9</f>
        <v>4</v>
      </c>
      <c r="AB20" s="61" t="str">
        <f>+IF(OR($H$5="Comerciante",$H$5="Político"),13,IF(OR($H$5="Estafador",$H$5="Reportero gráfico"),7,IF(OR($H$5="Ilustrado",$H$5="Misionero"),11,IF($H$5="Protocolo",8," "))))</f>
        <v xml:space="preserve"> </v>
      </c>
      <c r="AC20" s="66"/>
      <c r="AD20" s="63">
        <f t="shared" si="13"/>
        <v>0</v>
      </c>
      <c r="AE20" s="64">
        <f t="shared" ca="1" si="20"/>
        <v>4</v>
      </c>
      <c r="AF20" s="67" t="s">
        <v>99</v>
      </c>
      <c r="AG20" s="61">
        <f ca="1">+$AE$11</f>
        <v>2</v>
      </c>
      <c r="AH20" s="61">
        <f ca="1">+MIN(AG20,MAX(AH21:AH24))</f>
        <v>0</v>
      </c>
      <c r="AI20" s="66"/>
      <c r="AJ20" s="63"/>
      <c r="AK20" s="64">
        <f t="shared" ref="AK20:AK31" ca="1" si="21">+SUM(AG20,AH20)</f>
        <v>2</v>
      </c>
      <c r="AL20" s="50"/>
      <c r="AM20" s="88"/>
      <c r="AN20" s="89"/>
    </row>
    <row r="21" spans="1:40" s="19" customFormat="1" ht="16.5" thickBot="1" x14ac:dyDescent="0.25">
      <c r="A21" s="42"/>
      <c r="B21" s="60" t="s">
        <v>32</v>
      </c>
      <c r="C21" s="61">
        <f t="shared" ca="1" si="6"/>
        <v>4</v>
      </c>
      <c r="D21" s="61">
        <f ca="1">+MIN(C21,MAX(D22:D26))</f>
        <v>0</v>
      </c>
      <c r="E21" s="66"/>
      <c r="F21" s="63"/>
      <c r="G21" s="64">
        <f t="shared" ref="G21:G33" ca="1" si="22">+SUM(C21,D21)</f>
        <v>4</v>
      </c>
      <c r="H21" s="69"/>
      <c r="I21" s="61"/>
      <c r="J21" s="61"/>
      <c r="K21" s="66"/>
      <c r="L21" s="63"/>
      <c r="M21" s="64"/>
      <c r="N21" s="60" t="s">
        <v>67</v>
      </c>
      <c r="O21" s="61">
        <f ca="1">+$M$9</f>
        <v>2</v>
      </c>
      <c r="P21" s="61" t="str">
        <f>+IF($H$5="Camorrista",9,IF(OR($H$5="Cazarrecompensas",$H$5="Seguridad"),10,IF($H$5="Comerciante",8,IF($H$5="Deportista",4,IF(OR($H$5="Oficial militar",$H$5="Prospector"),5,IF($H$5="Reportero gráfico",7," "))))))</f>
        <v xml:space="preserve"> </v>
      </c>
      <c r="Q21" s="66"/>
      <c r="R21" s="63">
        <f t="shared" si="18"/>
        <v>0</v>
      </c>
      <c r="S21" s="64">
        <f ca="1">+SUM(O21:R21)</f>
        <v>2</v>
      </c>
      <c r="T21" s="60" t="s">
        <v>78</v>
      </c>
      <c r="U21" s="61">
        <f ca="1">+$S$11</f>
        <v>4</v>
      </c>
      <c r="V21" s="61" t="s">
        <v>287</v>
      </c>
      <c r="W21" s="66"/>
      <c r="X21" s="63">
        <f t="shared" si="8"/>
        <v>0</v>
      </c>
      <c r="Y21" s="64">
        <f t="shared" ca="1" si="12"/>
        <v>4</v>
      </c>
      <c r="Z21" s="60" t="s">
        <v>88</v>
      </c>
      <c r="AA21" s="61">
        <f ca="1">+$Y$10</f>
        <v>4</v>
      </c>
      <c r="AB21" s="61" t="str">
        <f>+IF($H$5="Agente",7,IF(OR($H$5="Camorrista",$H$5="Miliciano",$H$5="Seguridad"),5," "))</f>
        <v xml:space="preserve"> </v>
      </c>
      <c r="AC21" s="66"/>
      <c r="AD21" s="63">
        <f t="shared" si="13"/>
        <v>0</v>
      </c>
      <c r="AE21" s="64">
        <f t="shared" ca="1" si="20"/>
        <v>4</v>
      </c>
      <c r="AF21" s="68" t="s">
        <v>100</v>
      </c>
      <c r="AG21" s="61">
        <f ca="1">+$AE$11</f>
        <v>2</v>
      </c>
      <c r="AH21" s="61" t="str">
        <f>+IF($H$5="Mercante",6,IF(OR($H$5="Miliciano",$H$5="Piloto de combate"),5," "))</f>
        <v xml:space="preserve"> </v>
      </c>
      <c r="AI21" s="66"/>
      <c r="AJ21" s="63">
        <f>IF(AH21&lt;&gt;" ",+$O$6,0)</f>
        <v>0</v>
      </c>
      <c r="AK21" s="64">
        <f ca="1">+MAX(SUM(AG21:AJ21),$AK$20)</f>
        <v>2</v>
      </c>
      <c r="AL21" s="50"/>
      <c r="AM21" s="92"/>
      <c r="AN21" s="93"/>
    </row>
    <row r="22" spans="1:40" s="19" customFormat="1" ht="16.5" thickBot="1" x14ac:dyDescent="0.25">
      <c r="A22" s="42"/>
      <c r="B22" s="65" t="s">
        <v>33</v>
      </c>
      <c r="C22" s="61">
        <f t="shared" ca="1" si="6"/>
        <v>4</v>
      </c>
      <c r="D22" s="61" t="str">
        <f>+IF(OR($H$5="Científico",$H$5="Médico"),10," ")</f>
        <v xml:space="preserve"> </v>
      </c>
      <c r="E22" s="66"/>
      <c r="F22" s="63">
        <f>IF(D22&lt;&gt;" ",+$O$6,0)</f>
        <v>0</v>
      </c>
      <c r="G22" s="64">
        <f ca="1">+MAX(SUM(C22:F22),$G$21)</f>
        <v>4</v>
      </c>
      <c r="H22" s="60"/>
      <c r="I22" s="61"/>
      <c r="J22" s="61"/>
      <c r="K22" s="66"/>
      <c r="L22" s="63"/>
      <c r="M22" s="64"/>
      <c r="N22" s="60" t="s">
        <v>68</v>
      </c>
      <c r="O22" s="61">
        <f ca="1">+$M$10</f>
        <v>2</v>
      </c>
      <c r="P22" s="61" t="str">
        <f>+IF($H$5="Agente",13,IF($H$5="Camorrista",9,IF($H$5="Explorador",11,IF(OR($H$5="Miliciano",$H$5="Piloto de combate",$H$5="Soldado"),8,IF($H$5="Oficial militar",5,IF($H$5="Seguridad",10," "))))))</f>
        <v xml:space="preserve"> </v>
      </c>
      <c r="Q22" s="66"/>
      <c r="R22" s="63">
        <f t="shared" si="18"/>
        <v>0</v>
      </c>
      <c r="S22" s="64">
        <f t="shared" ref="S22:S23" ca="1" si="23">+SUM(O22:R22)</f>
        <v>2</v>
      </c>
      <c r="T22" s="60" t="s">
        <v>79</v>
      </c>
      <c r="U22" s="61">
        <f ca="1">+$S$11</f>
        <v>4</v>
      </c>
      <c r="V22" s="61" t="str">
        <f>+IF($H$5="Piloto de combate",9,IF($H$5="Soldado",7," "))</f>
        <v xml:space="preserve"> </v>
      </c>
      <c r="W22" s="66"/>
      <c r="X22" s="63">
        <f t="shared" si="8"/>
        <v>0</v>
      </c>
      <c r="Y22" s="64">
        <f t="shared" ca="1" si="12"/>
        <v>4</v>
      </c>
      <c r="Z22" s="60" t="s">
        <v>89</v>
      </c>
      <c r="AA22" s="61">
        <f ca="1">+$Y$9</f>
        <v>4</v>
      </c>
      <c r="AB22" s="61" t="str">
        <f>+IF(OR($H$5="Comerciante",$H$5="Misionero"),5,IF($H$5="Mercante",8,IF($H$5="Oficial militar",13,IF($H$5="Político",12," "))))</f>
        <v xml:space="preserve"> </v>
      </c>
      <c r="AC22" s="66"/>
      <c r="AD22" s="63">
        <f t="shared" si="13"/>
        <v>0</v>
      </c>
      <c r="AE22" s="64">
        <f t="shared" ca="1" si="20"/>
        <v>4</v>
      </c>
      <c r="AF22" s="68" t="s">
        <v>101</v>
      </c>
      <c r="AG22" s="61">
        <f ca="1">+$AE$11</f>
        <v>2</v>
      </c>
      <c r="AH22" s="61" t="str">
        <f>+IF($H$5="Mercante",9,IF(OR($H$5="Oficial militar",$H$5="Tecno"),5," "))</f>
        <v xml:space="preserve"> </v>
      </c>
      <c r="AI22" s="66"/>
      <c r="AJ22" s="63">
        <f>IF(AH22&lt;&gt;" ",+$O$6,0)</f>
        <v>0</v>
      </c>
      <c r="AK22" s="64">
        <f t="shared" ref="AK22:AK24" ca="1" si="24">+MAX(SUM(AG22:AJ22),$AK$20)</f>
        <v>2</v>
      </c>
      <c r="AL22" s="40"/>
      <c r="AM22" s="40"/>
      <c r="AN22" s="40"/>
    </row>
    <row r="23" spans="1:40" s="19" customFormat="1" ht="18.75" thickBot="1" x14ac:dyDescent="0.25">
      <c r="A23" s="42"/>
      <c r="B23" s="65" t="s">
        <v>34</v>
      </c>
      <c r="C23" s="61">
        <f t="shared" ca="1" si="6"/>
        <v>4</v>
      </c>
      <c r="D23" s="61" t="str">
        <f>+IF($H$5="Diletante",10," ")</f>
        <v xml:space="preserve"> </v>
      </c>
      <c r="E23" s="66"/>
      <c r="F23" s="63">
        <f>IF(D23&lt;&gt;" ",+$O$6,0)</f>
        <v>0</v>
      </c>
      <c r="G23" s="64">
        <f t="shared" ref="G23:G26" ca="1" si="25">+MAX(SUM(C23:F23),$G$21)</f>
        <v>4</v>
      </c>
      <c r="H23" s="60"/>
      <c r="I23" s="61"/>
      <c r="J23" s="61"/>
      <c r="K23" s="66"/>
      <c r="L23" s="63"/>
      <c r="M23" s="64"/>
      <c r="N23" s="60" t="s">
        <v>58</v>
      </c>
      <c r="O23" s="61">
        <f ca="1">+$M$10</f>
        <v>2</v>
      </c>
      <c r="P23" s="61" t="str">
        <f>+IF($H$5="Cazarrecompensas",10,IF($H$5="Soldado",8," "))</f>
        <v xml:space="preserve"> </v>
      </c>
      <c r="Q23" s="66"/>
      <c r="R23" s="63">
        <f t="shared" si="18"/>
        <v>0</v>
      </c>
      <c r="S23" s="64">
        <f t="shared" ca="1" si="23"/>
        <v>2</v>
      </c>
      <c r="T23" s="60" t="s">
        <v>70</v>
      </c>
      <c r="U23" s="61">
        <f ca="1">+$M$10</f>
        <v>2</v>
      </c>
      <c r="V23" s="61" t="str">
        <f>+IF($H$5="Estafador",4,IF($H$5="Hacker",5," "))</f>
        <v xml:space="preserve"> </v>
      </c>
      <c r="W23" s="66"/>
      <c r="X23" s="63">
        <f t="shared" si="8"/>
        <v>0</v>
      </c>
      <c r="Y23" s="64">
        <f t="shared" ca="1" si="12"/>
        <v>2</v>
      </c>
      <c r="Z23" s="60" t="s">
        <v>90</v>
      </c>
      <c r="AA23" s="61">
        <f ca="1">+$S$9</f>
        <v>4</v>
      </c>
      <c r="AB23" s="61" t="str">
        <f>+IF(OR($H$5="Comerciante",$H$5="Oficial militar"),5,IF($H$5="Conductor",8,IF($H$5="Ilustrado",6,IF($H$5="Político",13," "))))</f>
        <v xml:space="preserve"> </v>
      </c>
      <c r="AC23" s="66"/>
      <c r="AD23" s="63">
        <f t="shared" si="13"/>
        <v>0</v>
      </c>
      <c r="AE23" s="64">
        <f t="shared" ca="1" si="20"/>
        <v>4</v>
      </c>
      <c r="AF23" s="68" t="s">
        <v>102</v>
      </c>
      <c r="AG23" s="61">
        <f ca="1">+$AE$11</f>
        <v>2</v>
      </c>
      <c r="AH23" s="61" t="str">
        <f>+IF(OR($H$5="Científico",$H$5="Mercante"),9,IF($H$5="Explorador",7,IF(OR($H$5="Oficial militar",$H$5="Tecno",$H$5="Piloto de combate"),5," ")))</f>
        <v xml:space="preserve"> </v>
      </c>
      <c r="AI23" s="66"/>
      <c r="AJ23" s="63">
        <f>IF(AH23&lt;&gt;" ",+$O$6,0)</f>
        <v>0</v>
      </c>
      <c r="AK23" s="64">
        <f t="shared" ca="1" si="24"/>
        <v>2</v>
      </c>
      <c r="AL23" s="40"/>
      <c r="AM23" s="119" t="s">
        <v>293</v>
      </c>
      <c r="AN23" s="119" t="s">
        <v>431</v>
      </c>
    </row>
    <row r="24" spans="1:40" s="19" customFormat="1" ht="15.75" x14ac:dyDescent="0.2">
      <c r="A24" s="42"/>
      <c r="B24" s="65" t="s">
        <v>35</v>
      </c>
      <c r="C24" s="61">
        <f t="shared" ca="1" si="6"/>
        <v>4</v>
      </c>
      <c r="D24" s="61" t="str">
        <f>+IF(OR($H$5="Científico",$H$5="Prospector"),10,IF($H$5="Explorador",12," "))</f>
        <v xml:space="preserve"> </v>
      </c>
      <c r="E24" s="66"/>
      <c r="F24" s="63">
        <f>IF(D24&lt;&gt;" ",+$O$6,0)</f>
        <v>0</v>
      </c>
      <c r="G24" s="64">
        <f t="shared" ca="1" si="25"/>
        <v>4</v>
      </c>
      <c r="H24" s="60"/>
      <c r="I24" s="61"/>
      <c r="J24" s="61"/>
      <c r="K24" s="66"/>
      <c r="L24" s="63"/>
      <c r="M24" s="64"/>
      <c r="N24" s="60"/>
      <c r="O24" s="61"/>
      <c r="P24" s="61"/>
      <c r="Q24" s="66"/>
      <c r="R24" s="63"/>
      <c r="S24" s="64"/>
      <c r="T24" s="60"/>
      <c r="U24" s="61"/>
      <c r="V24" s="61"/>
      <c r="W24" s="66"/>
      <c r="X24" s="63"/>
      <c r="Y24" s="64"/>
      <c r="Z24" s="60" t="s">
        <v>91</v>
      </c>
      <c r="AA24" s="61">
        <f ca="1">+$Y$11</f>
        <v>4</v>
      </c>
      <c r="AB24" s="61" t="str">
        <f>+IF($H$5="Comerciante",5,IF($H$5="Misionero",10," "))</f>
        <v xml:space="preserve"> </v>
      </c>
      <c r="AC24" s="66"/>
      <c r="AD24" s="63">
        <f t="shared" si="13"/>
        <v>0</v>
      </c>
      <c r="AE24" s="64">
        <f t="shared" ca="1" si="20"/>
        <v>4</v>
      </c>
      <c r="AF24" s="68" t="s">
        <v>103</v>
      </c>
      <c r="AG24" s="61">
        <f ca="1">+$AE$11</f>
        <v>2</v>
      </c>
      <c r="AH24" s="61" t="str">
        <f>+IF(OR($H$5="Agente",$H$5="Mercante"),9,IF(OR($H$5="Comerciante",$H$5="Explorador"),7," "))</f>
        <v xml:space="preserve"> </v>
      </c>
      <c r="AI24" s="66"/>
      <c r="AJ24" s="63">
        <f>IF(AH24&lt;&gt;" ",+$O$6,0)</f>
        <v>0</v>
      </c>
      <c r="AK24" s="64">
        <f t="shared" ca="1" si="24"/>
        <v>2</v>
      </c>
      <c r="AL24" s="56"/>
      <c r="AM24" s="118" t="str">
        <f>+IF($H$5="Agente",Equipo!A2,IF($H$5="Camorrista",Equipo!C2,IF($H$5="Cazarrecompensas",Equipo!E3,IF($H$5="Científico",Equipo!G3,IF($H$5="Comerciante",Equipo!I3,IF($H$5="Conductor",Equipo!K3,IF($H$5="Deportista",Equipo!M2,IF($H$5="Diletante",Equipo!O3,IF($H$5="Estafador",Equipo!Q3,IF($H$5="Explorador",Equipo!S2,IF($H$5="Hacker",Equipo!U2,IF($H$5="Ilustrado",Equipo!W2,IF($H$5="Médico",Equipo!Y2,IF($H$5="Mercante",Equipo!AA2,IF($H$5="Miliciano",Equipo!AC2,IF($H$5="Misionero",Equipo!AE2,IF($H$5="Oficial militar",Equipo!AG2,IF($H$5="Piloto de combate",Equipo!AI2,IF($H$5="Político",Equipo!AK2,IF($H$5="Prospector",Equipo!AM2,IF($H$5="Protocolo",Equipo!AO2,IF($H$5="Reportero gráfico",Equipo!AQ2,IF($H$5="Seguridad",Equipo!AS2,IF($H$5="Soldado",Equipo!AU2,IF($H$5="Tecno",Equipo!AW2,IF($H$5="Ninguna",Equipo!AY2,"-"))))))))))))))))))))))))))</f>
        <v>Dataóptico mini</v>
      </c>
      <c r="AN24" s="84">
        <f>+IF($H$5="Agente",Equipo!B2,IF($H$5="Camorrista",Equipo!D2,IF($H$5="Cazarrecompensas",Equipo!F3,IF($H$5="Científico",Equipo!H3,IF($H$5="Comerciante",Equipo!J3,IF($H$5="Conductor",Equipo!L3,IF($H$5="Deportista",Equipo!N2,IF($H$5="Diletante",Equipo!P3,IF($H$5="Estafador",Equipo!R3,IF($H$5="Explorador",Equipo!T2,IF($H$5="Hacker",Equipo!V2,IF($H$5="Ilustrado",Equipo!X2,IF($H$5="Médico",Equipo!Z2,IF($H$5="Mercante",Equipo!AB2,IF($H$5="Miliciano",Equipo!AD2,IF($H$5="Misionero",Equipo!AF2,IF($H$5="Oficial militar",Equipo!AH2,IF($H$5="Piloto de combate",Equipo!AJ2,IF($H$5="Político",Equipo!AL2,IF($H$5="Prospector",Equipo!AN2,IF($H$5="Protocolo",Equipo!AP2,IF($H$5="Reportero gráfico",Equipo!AR2,IF($H$5="Seguridad",Equipo!AT2,IF($H$5="Soldado",Equipo!AV2,IF($H$5="Tecno",Equipo!AX2,IF($H$5="Ninguna",Equipo!AZ2,"-"))))))))))))))))))))))))))</f>
        <v>312</v>
      </c>
    </row>
    <row r="25" spans="1:40" s="19" customFormat="1" ht="15.75" x14ac:dyDescent="0.2">
      <c r="A25" s="42"/>
      <c r="B25" s="65" t="s">
        <v>36</v>
      </c>
      <c r="C25" s="61">
        <f t="shared" ca="1" si="6"/>
        <v>4</v>
      </c>
      <c r="D25" s="61" t="str">
        <f>+IF($H$5="Científico",5,IF($H$5="Médico",10," "))</f>
        <v xml:space="preserve"> </v>
      </c>
      <c r="E25" s="66"/>
      <c r="F25" s="63">
        <f>IF(D25&lt;&gt;" ",+$O$6,0)</f>
        <v>0</v>
      </c>
      <c r="G25" s="64">
        <f t="shared" ca="1" si="25"/>
        <v>4</v>
      </c>
      <c r="H25" s="60"/>
      <c r="I25" s="61"/>
      <c r="J25" s="61"/>
      <c r="K25" s="66"/>
      <c r="L25" s="63"/>
      <c r="M25" s="64"/>
      <c r="N25" s="60"/>
      <c r="O25" s="61"/>
      <c r="P25" s="61"/>
      <c r="Q25" s="66"/>
      <c r="R25" s="63"/>
      <c r="S25" s="64"/>
      <c r="T25" s="60"/>
      <c r="U25" s="61"/>
      <c r="V25" s="61"/>
      <c r="W25" s="66"/>
      <c r="X25" s="63"/>
      <c r="Y25" s="64"/>
      <c r="Z25" s="60"/>
      <c r="AA25" s="61"/>
      <c r="AB25" s="61"/>
      <c r="AC25" s="66"/>
      <c r="AD25" s="63"/>
      <c r="AE25" s="64"/>
      <c r="AF25" s="60" t="s">
        <v>104</v>
      </c>
      <c r="AG25" s="61">
        <f ca="1">+$M$10</f>
        <v>2</v>
      </c>
      <c r="AH25" s="61">
        <f ca="1">+MIN(AG25,MAX(AH26:AH29))</f>
        <v>0</v>
      </c>
      <c r="AI25" s="66"/>
      <c r="AJ25" s="63"/>
      <c r="AK25" s="64">
        <f t="shared" ca="1" si="21"/>
        <v>2</v>
      </c>
      <c r="AL25" s="56"/>
      <c r="AM25" s="59" t="str">
        <f>+IF($H$5="Agente",Equipo!A3,IF($H$5="Camorrista",Equipo!C3,IF($H$5="Cazarrecompensas",Equipo!E4,IF($H$5="Científico",Equipo!G4,IF($H$5="Comerciante",Equipo!I4,IF($H$5="Conductor",Equipo!K4,IF($H$5="Deportista",Equipo!M3,IF($H$5="Diletante",Equipo!O4,IF($H$5="Estafador",Equipo!Q4,IF($H$5="Explorador",Equipo!S3,IF($H$5="Hacker",Equipo!U3,IF($H$5="Ilustrado",Equipo!W3,IF($H$5="Médico",Equipo!Y3,IF($H$5="Mercante",Equipo!AA3,IF($H$5="Miliciano",Equipo!AC3,IF($H$5="Misionero",Equipo!AE3,IF($H$5="Oficial militar",Equipo!AG3,IF($H$5="Piloto de combate",Equipo!AI3,IF($H$5="Político",Equipo!AK3,IF($H$5="Prospector",Equipo!AM3,IF($H$5="Protocolo",Equipo!AO3,IF($H$5="Reportero gráfico",Equipo!AQ3,IF($H$5="Seguridad",Equipo!AS3,IF($H$5="Soldado",Equipo!AU3,IF($H$5="Tecno",Equipo!AW3,IF($H$5="Ninguna",Equipo!AY3,"-"))))))))))))))))))))))))))</f>
        <v>Maquillaje</v>
      </c>
      <c r="AN25" s="83">
        <f>+IF($H$5="Agente",Equipo!B3,IF($H$5="Camorrista",Equipo!D3,IF($H$5="Cazarrecompensas",Equipo!F4,IF($H$5="Científico",Equipo!H4,IF($H$5="Comerciante",Equipo!J4,IF($H$5="Conductor",Equipo!L4,IF($H$5="Deportista",Equipo!N3,IF($H$5="Diletante",Equipo!P4,IF($H$5="Estafador",Equipo!R4,IF($H$5="Explorador",Equipo!T3,IF($H$5="Hacker",Equipo!V3,IF($H$5="Ilustrado",Equipo!X3,IF($H$5="Médico",Equipo!Z3,IF($H$5="Mercante",Equipo!AB3,IF($H$5="Miliciano",Equipo!AD3,IF($H$5="Misionero",Equipo!AF3,IF($H$5="Oficial militar",Equipo!AH3,IF($H$5="Piloto de combate",Equipo!AJ3,IF($H$5="Político",Equipo!AL3,IF($H$5="Prospector",Equipo!AN3,IF($H$5="Protocolo",Equipo!AP3,IF($H$5="Reportero gráfico",Equipo!AR3,IF($H$5="Seguridad",Equipo!AT3,IF($H$5="Soldado",Equipo!AV3,IF($H$5="Tecno",Equipo!AX3,IF($H$5="Ninguna",Equipo!AZ3,"-"))))))))))))))))))))))))))</f>
        <v>304</v>
      </c>
    </row>
    <row r="26" spans="1:40" s="19" customFormat="1" ht="15.75" x14ac:dyDescent="0.2">
      <c r="A26" s="42"/>
      <c r="B26" s="65" t="s">
        <v>37</v>
      </c>
      <c r="C26" s="61">
        <f t="shared" ca="1" si="6"/>
        <v>4</v>
      </c>
      <c r="D26" s="61" t="str">
        <f>+IF($H$5="Diletante",10," ")</f>
        <v xml:space="preserve"> </v>
      </c>
      <c r="E26" s="66"/>
      <c r="F26" s="63">
        <f>IF(D26&lt;&gt;" ",+$O$6,0)</f>
        <v>0</v>
      </c>
      <c r="G26" s="64">
        <f t="shared" ca="1" si="25"/>
        <v>4</v>
      </c>
      <c r="H26" s="60"/>
      <c r="I26" s="61"/>
      <c r="J26" s="61"/>
      <c r="K26" s="66"/>
      <c r="L26" s="63"/>
      <c r="M26" s="64"/>
      <c r="N26" s="60"/>
      <c r="O26" s="61"/>
      <c r="P26" s="61"/>
      <c r="Q26" s="66"/>
      <c r="R26" s="63"/>
      <c r="S26" s="64"/>
      <c r="T26" s="60"/>
      <c r="U26" s="61"/>
      <c r="V26" s="61"/>
      <c r="W26" s="66"/>
      <c r="X26" s="63"/>
      <c r="Y26" s="64"/>
      <c r="Z26" s="60"/>
      <c r="AA26" s="61"/>
      <c r="AB26" s="61"/>
      <c r="AC26" s="66"/>
      <c r="AD26" s="63"/>
      <c r="AE26" s="64"/>
      <c r="AF26" s="65" t="s">
        <v>105</v>
      </c>
      <c r="AG26" s="61">
        <f ca="1">+$M$10</f>
        <v>2</v>
      </c>
      <c r="AH26" s="61" t="str">
        <f>+IF(OR($H$5="Miliciano",$H$5="Seguridad"),5,IF($H$5="Piloto de combate",4," "))</f>
        <v xml:space="preserve"> </v>
      </c>
      <c r="AI26" s="66"/>
      <c r="AJ26" s="63">
        <f>IF(AH26&lt;&gt;" ",+$O$6,0)</f>
        <v>0</v>
      </c>
      <c r="AK26" s="64">
        <f ca="1">+MAX(SUM(AG26:AJ26),$AK$25)</f>
        <v>2</v>
      </c>
      <c r="AL26" s="56"/>
      <c r="AM26" s="59">
        <f>+IF($H$5="Agente",Equipo!A4,IF($H$5="Camorrista",Equipo!C4,IF($H$5="Cazarrecompensas",Equipo!E5,IF($H$5="Científico",Equipo!G5,IF($H$5="Comerciante",Equipo!I5,IF($H$5="Conductor",Equipo!K5,IF($H$5="Deportista",Equipo!M4,IF($H$5="Diletante",Equipo!O5,IF($H$5="Estafador",Equipo!Q5,IF($H$5="Explorador",Equipo!S4,IF($H$5="Hacker",Equipo!U4,IF($H$5="Ilustrado",Equipo!W4,IF($H$5="Médico",Equipo!Y4,IF($H$5="Mercante",Equipo!AA4,IF($H$5="Miliciano",Equipo!AC4,IF($H$5="Misionero",Equipo!AE4,IF($H$5="Oficial militar",Equipo!AG4,IF($H$5="Piloto de combate",Equipo!AI4,IF($H$5="Político",Equipo!AK4,IF($H$5="Prospector",Equipo!AM4,IF($H$5="Protocolo",Equipo!AO4,IF($H$5="Reportero gráfico",Equipo!AQ4,IF($H$5="Seguridad",Equipo!AS4,IF($H$5="Soldado",Equipo!AU4,IF($H$5="Tecno",Equipo!AW4,IF($H$5="Ninguna",Equipo!AY4,"-"))))))))))))))))))))))))))</f>
        <v>0</v>
      </c>
      <c r="AN26" s="83">
        <f>+IF($H$5="Agente",Equipo!B4,IF($H$5="Camorrista",Equipo!D4,IF($H$5="Cazarrecompensas",Equipo!F5,IF($H$5="Científico",Equipo!H5,IF($H$5="Comerciante",Equipo!J5,IF($H$5="Conductor",Equipo!L5,IF($H$5="Deportista",Equipo!N4,IF($H$5="Diletante",Equipo!P5,IF($H$5="Estafador",Equipo!R5,IF($H$5="Explorador",Equipo!T4,IF($H$5="Hacker",Equipo!V4,IF($H$5="Ilustrado",Equipo!X4,IF($H$5="Médico",Equipo!Z4,IF($H$5="Mercante",Equipo!AB4,IF($H$5="Miliciano",Equipo!AD4,IF($H$5="Misionero",Equipo!AF4,IF($H$5="Oficial militar",Equipo!AH4,IF($H$5="Piloto de combate",Equipo!AJ4,IF($H$5="Político",Equipo!AL4,IF($H$5="Prospector",Equipo!AN4,IF($H$5="Protocolo",Equipo!AP4,IF($H$5="Reportero gráfico",Equipo!AR4,IF($H$5="Seguridad",Equipo!AT4,IF($H$5="Soldado",Equipo!AV4,IF($H$5="Tecno",Equipo!AX4,IF($H$5="Ninguna",Equipo!AZ4,"-"))))))))))))))))))))))))))</f>
        <v>0</v>
      </c>
    </row>
    <row r="27" spans="1:40" s="19" customFormat="1" ht="15.75" x14ac:dyDescent="0.2">
      <c r="A27" s="42"/>
      <c r="B27" s="67" t="s">
        <v>38</v>
      </c>
      <c r="C27" s="61">
        <f t="shared" ref="C27:C36" ca="1" si="26">+$S$10</f>
        <v>4</v>
      </c>
      <c r="D27" s="61">
        <f ca="1">+MIN(C27,MAX(D28:D32))</f>
        <v>0</v>
      </c>
      <c r="E27" s="66"/>
      <c r="F27" s="63"/>
      <c r="G27" s="64">
        <f t="shared" ca="1" si="22"/>
        <v>4</v>
      </c>
      <c r="H27" s="60"/>
      <c r="I27" s="61"/>
      <c r="J27" s="61"/>
      <c r="K27" s="66"/>
      <c r="L27" s="63"/>
      <c r="M27" s="64"/>
      <c r="N27" s="60"/>
      <c r="O27" s="61"/>
      <c r="P27" s="61"/>
      <c r="Q27" s="66"/>
      <c r="R27" s="63"/>
      <c r="S27" s="64"/>
      <c r="T27" s="60"/>
      <c r="U27" s="61"/>
      <c r="V27" s="61"/>
      <c r="W27" s="66"/>
      <c r="X27" s="63"/>
      <c r="Y27" s="64"/>
      <c r="Z27" s="60"/>
      <c r="AA27" s="61"/>
      <c r="AB27" s="61"/>
      <c r="AC27" s="66"/>
      <c r="AD27" s="63"/>
      <c r="AE27" s="64"/>
      <c r="AF27" s="65" t="s">
        <v>106</v>
      </c>
      <c r="AG27" s="61">
        <f ca="1">+$M$10</f>
        <v>2</v>
      </c>
      <c r="AH27" s="61" t="str">
        <f>+IF(OR($H$5="Cazarrecompensas",$H$5="Tecno"),10,IF($H$5="Explorador",9,IF($H$5="Piloto de combate",12," ")))</f>
        <v xml:space="preserve"> </v>
      </c>
      <c r="AI27" s="66"/>
      <c r="AJ27" s="63">
        <f>IF(AH27&lt;&gt;" ",+$O$6,0)</f>
        <v>0</v>
      </c>
      <c r="AK27" s="64">
        <f t="shared" ref="AK27:AK29" ca="1" si="27">+MAX(SUM(AG27:AJ27),$AK$25)</f>
        <v>2</v>
      </c>
      <c r="AL27" s="56"/>
      <c r="AM27" s="59">
        <f>+IF($H$5="Agente",Equipo!A5,IF($H$5="Camorrista",Equipo!C5,IF($H$5="Cazarrecompensas",Equipo!E6,IF($H$5="Científico",Equipo!G6,IF($H$5="Comerciante",Equipo!I6,IF($H$5="Conductor",Equipo!K6,IF($H$5="Deportista",Equipo!M5,IF($H$5="Diletante",Equipo!O6,IF($H$5="Estafador",Equipo!Q6,IF($H$5="Explorador",Equipo!S5,IF($H$5="Hacker",Equipo!U5,IF($H$5="Ilustrado",Equipo!W5,IF($H$5="Médico",Equipo!Y5,IF($H$5="Mercante",Equipo!AA5,IF($H$5="Miliciano",Equipo!AC5,IF($H$5="Misionero",Equipo!AE5,IF($H$5="Oficial militar",Equipo!AG5,IF($H$5="Piloto de combate",Equipo!AI5,IF($H$5="Político",Equipo!AK5,IF($H$5="Prospector",Equipo!AM5,IF($H$5="Protocolo",Equipo!AO5,IF($H$5="Reportero gráfico",Equipo!AQ5,IF($H$5="Seguridad",Equipo!AS5,IF($H$5="Soldado",Equipo!AU5,IF($H$5="Tecno",Equipo!AW5,IF($H$5="Ninguna",Equipo!AY5,"-"))))))))))))))))))))))))))</f>
        <v>0</v>
      </c>
      <c r="AN27" s="83">
        <f>+IF($H$5="Agente",Equipo!B5,IF($H$5="Camorrista",Equipo!D5,IF($H$5="Cazarrecompensas",Equipo!F6,IF($H$5="Científico",Equipo!H6,IF($H$5="Comerciante",Equipo!J6,IF($H$5="Conductor",Equipo!L6,IF($H$5="Deportista",Equipo!N5,IF($H$5="Diletante",Equipo!P6,IF($H$5="Estafador",Equipo!R6,IF($H$5="Explorador",Equipo!T5,IF($H$5="Hacker",Equipo!V5,IF($H$5="Ilustrado",Equipo!X5,IF($H$5="Médico",Equipo!Z5,IF($H$5="Mercante",Equipo!AB5,IF($H$5="Miliciano",Equipo!AD5,IF($H$5="Misionero",Equipo!AF5,IF($H$5="Oficial militar",Equipo!AH5,IF($H$5="Piloto de combate",Equipo!AJ5,IF($H$5="Político",Equipo!AL5,IF($H$5="Prospector",Equipo!AN5,IF($H$5="Protocolo",Equipo!AP5,IF($H$5="Reportero gráfico",Equipo!AR5,IF($H$5="Seguridad",Equipo!AT5,IF($H$5="Soldado",Equipo!AV5,IF($H$5="Tecno",Equipo!AX5,IF($H$5="Ninguna",Equipo!AZ5,"-"))))))))))))))))))))))))))</f>
        <v>0</v>
      </c>
    </row>
    <row r="28" spans="1:40" s="19" customFormat="1" ht="15.75" x14ac:dyDescent="0.2">
      <c r="A28" s="42"/>
      <c r="B28" s="68" t="s">
        <v>39</v>
      </c>
      <c r="C28" s="61">
        <f t="shared" ca="1" si="26"/>
        <v>4</v>
      </c>
      <c r="D28" s="61" t="str">
        <f>+IF($H$5="Explorador",13,IF($H$5="Mercante",7,IF($H$5="Piloto de combate",8,IF($H$5="Prospector",10," "))))</f>
        <v xml:space="preserve"> </v>
      </c>
      <c r="E28" s="66"/>
      <c r="F28" s="63">
        <f>IF(D28&lt;&gt;" ",+$O$6,0)</f>
        <v>0</v>
      </c>
      <c r="G28" s="64">
        <f ca="1">+MAX(SUM(C28:F28),$G$27)</f>
        <v>4</v>
      </c>
      <c r="H28" s="60"/>
      <c r="I28" s="61"/>
      <c r="J28" s="61"/>
      <c r="K28" s="66"/>
      <c r="L28" s="63"/>
      <c r="M28" s="64"/>
      <c r="N28" s="60"/>
      <c r="O28" s="61"/>
      <c r="P28" s="61"/>
      <c r="Q28" s="66"/>
      <c r="R28" s="63"/>
      <c r="S28" s="64"/>
      <c r="T28" s="60"/>
      <c r="U28" s="61"/>
      <c r="V28" s="61"/>
      <c r="W28" s="66"/>
      <c r="X28" s="63"/>
      <c r="Y28" s="64"/>
      <c r="Z28" s="60"/>
      <c r="AA28" s="61"/>
      <c r="AB28" s="61"/>
      <c r="AC28" s="66"/>
      <c r="AD28" s="63"/>
      <c r="AE28" s="64"/>
      <c r="AF28" s="65" t="s">
        <v>107</v>
      </c>
      <c r="AG28" s="61">
        <f ca="1">+$M$10</f>
        <v>2</v>
      </c>
      <c r="AH28" s="61" t="str">
        <f>+IF($H$5="Mercante",12,IF($H$5="Oficial militar",5," "))</f>
        <v xml:space="preserve"> </v>
      </c>
      <c r="AI28" s="66"/>
      <c r="AJ28" s="63">
        <f>IF(AH28&lt;&gt;" ",+$O$6,0)</f>
        <v>0</v>
      </c>
      <c r="AK28" s="64">
        <f t="shared" ca="1" si="27"/>
        <v>2</v>
      </c>
      <c r="AL28" s="56"/>
      <c r="AM28" s="59">
        <f>+IF($H$5="Agente",Equipo!A6,IF($H$5="Camorrista",Equipo!C6,IF($H$5="Cazarrecompensas",Equipo!E7,IF($H$5="Científico",Equipo!G7,IF($H$5="Comerciante",Equipo!I7,IF($H$5="Conductor",Equipo!K7,IF($H$5="Deportista",Equipo!M6,IF($H$5="Diletante",Equipo!O7,IF($H$5="Estafador",Equipo!Q7,IF($H$5="Explorador",Equipo!S6,IF($H$5="Hacker",Equipo!U6,IF($H$5="Ilustrado",Equipo!W6,IF($H$5="Médico",Equipo!Y6,IF($H$5="Mercante",Equipo!AA6,IF($H$5="Miliciano",Equipo!AC6,IF($H$5="Misionero",Equipo!AE6,IF($H$5="Oficial militar",Equipo!AG6,IF($H$5="Piloto de combate",Equipo!AI6,IF($H$5="Político",Equipo!AK6,IF($H$5="Prospector",Equipo!AM6,IF($H$5="Protocolo",Equipo!AO6,IF($H$5="Reportero gráfico",Equipo!AQ6,IF($H$5="Seguridad",Equipo!AS6,IF($H$5="Soldado",Equipo!AU6,IF($H$5="Tecno",Equipo!AW6,IF($H$5="Ninguna",Equipo!AY6,"-"))))))))))))))))))))))))))</f>
        <v>0</v>
      </c>
      <c r="AN28" s="83">
        <f>+IF($H$5="Agente",Equipo!B6,IF($H$5="Camorrista",Equipo!D6,IF($H$5="Cazarrecompensas",Equipo!F7,IF($H$5="Científico",Equipo!H7,IF($H$5="Comerciante",Equipo!J7,IF($H$5="Conductor",Equipo!L7,IF($H$5="Deportista",Equipo!N6,IF($H$5="Diletante",Equipo!P7,IF($H$5="Estafador",Equipo!R7,IF($H$5="Explorador",Equipo!T6,IF($H$5="Hacker",Equipo!V6,IF($H$5="Ilustrado",Equipo!X6,IF($H$5="Médico",Equipo!Z6,IF($H$5="Mercante",Equipo!AB6,IF($H$5="Miliciano",Equipo!AD6,IF($H$5="Misionero",Equipo!AF6,IF($H$5="Oficial militar",Equipo!AH6,IF($H$5="Piloto de combate",Equipo!AJ6,IF($H$5="Político",Equipo!AL6,IF($H$5="Prospector",Equipo!AN6,IF($H$5="Protocolo",Equipo!AP6,IF($H$5="Reportero gráfico",Equipo!AR6,IF($H$5="Seguridad",Equipo!AT6,IF($H$5="Soldado",Equipo!AV6,IF($H$5="Tecno",Equipo!AX6,IF($H$5="Ninguna",Equipo!AZ6,"-"))))))))))))))))))))))))))</f>
        <v>0</v>
      </c>
    </row>
    <row r="29" spans="1:40" s="19" customFormat="1" ht="15.75" x14ac:dyDescent="0.2">
      <c r="A29" s="42"/>
      <c r="B29" s="68" t="s">
        <v>40</v>
      </c>
      <c r="C29" s="61">
        <f t="shared" ca="1" si="26"/>
        <v>4</v>
      </c>
      <c r="D29" s="61" t="str">
        <f>+IF($H$5="Diletante",10," ")</f>
        <v xml:space="preserve"> </v>
      </c>
      <c r="E29" s="66"/>
      <c r="F29" s="63">
        <f>IF(D29&lt;&gt;" ",+$O$6,0)</f>
        <v>0</v>
      </c>
      <c r="G29" s="64">
        <f t="shared" ref="G29:G32" ca="1" si="28">+MAX(SUM(C29:F29),$G$27)</f>
        <v>4</v>
      </c>
      <c r="H29" s="60"/>
      <c r="I29" s="61"/>
      <c r="J29" s="61"/>
      <c r="K29" s="66"/>
      <c r="L29" s="63"/>
      <c r="M29" s="64"/>
      <c r="N29" s="60"/>
      <c r="O29" s="61"/>
      <c r="P29" s="61"/>
      <c r="Q29" s="66"/>
      <c r="R29" s="63"/>
      <c r="S29" s="64"/>
      <c r="T29" s="60"/>
      <c r="U29" s="61"/>
      <c r="V29" s="61"/>
      <c r="W29" s="66"/>
      <c r="X29" s="63"/>
      <c r="Y29" s="64"/>
      <c r="Z29" s="60"/>
      <c r="AA29" s="61"/>
      <c r="AB29" s="61"/>
      <c r="AC29" s="66"/>
      <c r="AD29" s="63"/>
      <c r="AE29" s="64"/>
      <c r="AF29" s="65" t="s">
        <v>108</v>
      </c>
      <c r="AG29" s="61">
        <f ca="1">+$M$10</f>
        <v>2</v>
      </c>
      <c r="AH29" s="61" t="str">
        <f>+IF($H$5="Oficial militar",5," ")</f>
        <v xml:space="preserve"> </v>
      </c>
      <c r="AI29" s="66"/>
      <c r="AJ29" s="63">
        <f>IF(AH29&lt;&gt;" ",+$O$6,0)</f>
        <v>0</v>
      </c>
      <c r="AK29" s="64">
        <f t="shared" ca="1" si="27"/>
        <v>2</v>
      </c>
      <c r="AL29" s="56"/>
      <c r="AM29" s="59">
        <f>+IF($H$5="Agente",Equipo!A7,IF($H$5="Camorrista",Equipo!C7,IF($H$5="Cazarrecompensas",Equipo!E8,IF($H$5="Científico",Equipo!G8,IF($H$5="Comerciante",Equipo!I8,IF($H$5="Conductor",Equipo!K8,IF($H$5="Deportista",Equipo!M7,IF($H$5="Diletante",Equipo!O8,IF($H$5="Estafador",Equipo!Q8,IF($H$5="Explorador",Equipo!S7,IF($H$5="Hacker",Equipo!U7,IF($H$5="Ilustrado",Equipo!W7,IF($H$5="Médico",Equipo!Y7,IF($H$5="Mercante",Equipo!AA7,IF($H$5="Miliciano",Equipo!AC7,IF($H$5="Misionero",Equipo!AE7,IF($H$5="Oficial militar",Equipo!AG7,IF($H$5="Piloto de combate",Equipo!AI7,IF($H$5="Político",Equipo!AK7,IF($H$5="Prospector",Equipo!AM7,IF($H$5="Protocolo",Equipo!AO7,IF($H$5="Reportero gráfico",Equipo!AQ7,IF($H$5="Seguridad",Equipo!AS7,IF($H$5="Soldado",Equipo!AU7,IF($H$5="Tecno",Equipo!AW7,IF($H$5="Ninguna",Equipo!AY7,"-"))))))))))))))))))))))))))</f>
        <v>0</v>
      </c>
      <c r="AN29" s="83">
        <f>+IF($H$5="Agente",Equipo!B7,IF($H$5="Camorrista",Equipo!D7,IF($H$5="Cazarrecompensas",Equipo!F8,IF($H$5="Científico",Equipo!H8,IF($H$5="Comerciante",Equipo!J8,IF($H$5="Conductor",Equipo!L8,IF($H$5="Deportista",Equipo!N7,IF($H$5="Diletante",Equipo!P8,IF($H$5="Estafador",Equipo!R8,IF($H$5="Explorador",Equipo!T7,IF($H$5="Hacker",Equipo!V7,IF($H$5="Ilustrado",Equipo!X7,IF($H$5="Médico",Equipo!Z7,IF($H$5="Mercante",Equipo!AB7,IF($H$5="Miliciano",Equipo!AD7,IF($H$5="Misionero",Equipo!AF7,IF($H$5="Oficial militar",Equipo!AH7,IF($H$5="Piloto de combate",Equipo!AJ7,IF($H$5="Político",Equipo!AL7,IF($H$5="Prospector",Equipo!AN7,IF($H$5="Protocolo",Equipo!AP7,IF($H$5="Reportero gráfico",Equipo!AR7,IF($H$5="Seguridad",Equipo!AT7,IF($H$5="Soldado",Equipo!AV7,IF($H$5="Tecno",Equipo!AX7,IF($H$5="Ninguna",Equipo!AZ7,"-"))))))))))))))))))))))))))</f>
        <v>0</v>
      </c>
    </row>
    <row r="30" spans="1:40" s="19" customFormat="1" ht="15.75" x14ac:dyDescent="0.2">
      <c r="A30" s="42"/>
      <c r="B30" s="68" t="s">
        <v>41</v>
      </c>
      <c r="C30" s="61">
        <f t="shared" ca="1" si="26"/>
        <v>4</v>
      </c>
      <c r="D30" s="61" t="str">
        <f>+IF($H$5="Científico",10," ")</f>
        <v xml:space="preserve"> </v>
      </c>
      <c r="E30" s="66"/>
      <c r="F30" s="63">
        <f>IF(D30&lt;&gt;" ",+$O$6,0)</f>
        <v>0</v>
      </c>
      <c r="G30" s="64">
        <f t="shared" ca="1" si="28"/>
        <v>4</v>
      </c>
      <c r="H30" s="60"/>
      <c r="I30" s="61"/>
      <c r="J30" s="61"/>
      <c r="K30" s="66"/>
      <c r="L30" s="63"/>
      <c r="M30" s="64"/>
      <c r="N30" s="60"/>
      <c r="O30" s="61"/>
      <c r="P30" s="61"/>
      <c r="Q30" s="66"/>
      <c r="R30" s="63"/>
      <c r="S30" s="64"/>
      <c r="T30" s="60"/>
      <c r="U30" s="61"/>
      <c r="V30" s="61"/>
      <c r="W30" s="66"/>
      <c r="X30" s="63"/>
      <c r="Y30" s="64"/>
      <c r="Z30" s="60"/>
      <c r="AA30" s="61"/>
      <c r="AB30" s="61"/>
      <c r="AC30" s="66"/>
      <c r="AD30" s="63"/>
      <c r="AE30" s="64"/>
      <c r="AF30" s="60" t="s">
        <v>109</v>
      </c>
      <c r="AG30" s="61">
        <f ca="1">+$AE$10</f>
        <v>2</v>
      </c>
      <c r="AH30" s="61" t="str">
        <f>+IF(OR($H$5="Agente",$H$5="Seguridad"),8,IF($H$5="Deportista",6,IF($H$5="Médico",14,IF($H$5="Miliciano",5," "))))</f>
        <v xml:space="preserve"> </v>
      </c>
      <c r="AI30" s="66"/>
      <c r="AJ30" s="63">
        <f>IF(AH30&lt;&gt;" ",+$O$6,0)</f>
        <v>0</v>
      </c>
      <c r="AK30" s="64">
        <f ca="1">+SUM(AG30:AJ30)</f>
        <v>2</v>
      </c>
      <c r="AL30" s="56"/>
      <c r="AM30" s="59">
        <f>+IF($H$5="Agente",Equipo!A8,IF($H$5="Camorrista",Equipo!C8,IF($H$5="Cazarrecompensas",Equipo!E9,IF($H$5="Científico",Equipo!G9,IF($H$5="Comerciante",Equipo!I9,IF($H$5="Conductor",Equipo!K9,IF($H$5="Deportista",Equipo!M8,IF($H$5="Diletante",Equipo!O9,IF($H$5="Estafador",Equipo!Q9,IF($H$5="Explorador",Equipo!S8,IF($H$5="Hacker",Equipo!U8,IF($H$5="Ilustrado",Equipo!W8,IF($H$5="Médico",Equipo!Y8,IF($H$5="Mercante",Equipo!AA8,IF($H$5="Miliciano",Equipo!AC8,IF($H$5="Misionero",Equipo!AE8,IF($H$5="Oficial militar",Equipo!AG8,IF($H$5="Piloto de combate",Equipo!AI8,IF($H$5="Político",Equipo!AK8,IF($H$5="Prospector",Equipo!AM8,IF($H$5="Protocolo",Equipo!AO8,IF($H$5="Reportero gráfico",Equipo!AQ8,IF($H$5="Seguridad",Equipo!AS8,IF($H$5="Soldado",Equipo!AU8,IF($H$5="Tecno",Equipo!AW8,IF($H$5="Ninguna",Equipo!AY8,"-"))))))))))))))))))))))))))</f>
        <v>0</v>
      </c>
      <c r="AN30" s="83">
        <f>+IF($H$5="Agente",Equipo!B8,IF($H$5="Camorrista",Equipo!D8,IF($H$5="Cazarrecompensas",Equipo!F9,IF($H$5="Científico",Equipo!H9,IF($H$5="Comerciante",Equipo!J9,IF($H$5="Conductor",Equipo!L9,IF($H$5="Deportista",Equipo!N8,IF($H$5="Diletante",Equipo!P9,IF($H$5="Estafador",Equipo!R9,IF($H$5="Explorador",Equipo!T8,IF($H$5="Hacker",Equipo!V8,IF($H$5="Ilustrado",Equipo!X8,IF($H$5="Médico",Equipo!Z8,IF($H$5="Mercante",Equipo!AB8,IF($H$5="Miliciano",Equipo!AD8,IF($H$5="Misionero",Equipo!AF8,IF($H$5="Oficial militar",Equipo!AH8,IF($H$5="Piloto de combate",Equipo!AJ8,IF($H$5="Político",Equipo!AL8,IF($H$5="Prospector",Equipo!AN8,IF($H$5="Protocolo",Equipo!AP8,IF($H$5="Reportero gráfico",Equipo!AR8,IF($H$5="Seguridad",Equipo!AT8,IF($H$5="Soldado",Equipo!AV8,IF($H$5="Tecno",Equipo!AX8,IF($H$5="Ninguna",Equipo!AZ8,"-"))))))))))))))))))))))))))</f>
        <v>0</v>
      </c>
    </row>
    <row r="31" spans="1:40" s="19" customFormat="1" ht="15.75" x14ac:dyDescent="0.2">
      <c r="A31" s="42"/>
      <c r="B31" s="68" t="s">
        <v>42</v>
      </c>
      <c r="C31" s="61">
        <f t="shared" ca="1" si="26"/>
        <v>4</v>
      </c>
      <c r="D31" s="61" t="str">
        <f>+IF(OR($H$5="Científico",$H$5="Diletante"),10,IF($H$5="Hacker",12," "))</f>
        <v xml:space="preserve"> </v>
      </c>
      <c r="E31" s="66"/>
      <c r="F31" s="63">
        <f>IF(D31&lt;&gt;" ",+$O$6,0)</f>
        <v>0</v>
      </c>
      <c r="G31" s="64">
        <f t="shared" ca="1" si="28"/>
        <v>4</v>
      </c>
      <c r="H31" s="60"/>
      <c r="I31" s="61"/>
      <c r="J31" s="61"/>
      <c r="K31" s="66"/>
      <c r="L31" s="63"/>
      <c r="M31" s="64"/>
      <c r="N31" s="60"/>
      <c r="O31" s="61"/>
      <c r="P31" s="61"/>
      <c r="Q31" s="66"/>
      <c r="R31" s="63"/>
      <c r="S31" s="64"/>
      <c r="T31" s="60"/>
      <c r="U31" s="61"/>
      <c r="V31" s="61"/>
      <c r="W31" s="66"/>
      <c r="X31" s="63"/>
      <c r="Y31" s="64"/>
      <c r="Z31" s="60"/>
      <c r="AA31" s="61"/>
      <c r="AB31" s="61"/>
      <c r="AC31" s="66"/>
      <c r="AD31" s="63"/>
      <c r="AE31" s="64"/>
      <c r="AF31" s="67" t="s">
        <v>110</v>
      </c>
      <c r="AG31" s="61">
        <f t="shared" ref="AG31:AG36" ca="1" si="29">+$S$11</f>
        <v>4</v>
      </c>
      <c r="AH31" s="61">
        <f ca="1">+MIN(AG31,MAX(AH32:AH36))</f>
        <v>0</v>
      </c>
      <c r="AI31" s="66"/>
      <c r="AJ31" s="63"/>
      <c r="AK31" s="64">
        <f t="shared" ca="1" si="21"/>
        <v>4</v>
      </c>
      <c r="AL31" s="56"/>
      <c r="AM31" s="59">
        <f>+IF($H$5="Agente",Equipo!A9,IF($H$5="Camorrista",Equipo!C9,IF($H$5="Cazarrecompensas",Equipo!E10,IF($H$5="Científico",Equipo!G10,IF($H$5="Comerciante",Equipo!I10,IF($H$5="Conductor",Equipo!K10,IF($H$5="Deportista",Equipo!M9,IF($H$5="Diletante",Equipo!O10,IF($H$5="Estafador",Equipo!Q10,IF($H$5="Explorador",Equipo!S9,IF($H$5="Hacker",Equipo!U9,IF($H$5="Ilustrado",Equipo!W9,IF($H$5="Médico",Equipo!Y9,IF($H$5="Mercante",Equipo!AA9,IF($H$5="Miliciano",Equipo!AC9,IF($H$5="Misionero",Equipo!AE9,IF($H$5="Oficial militar",Equipo!AG9,IF($H$5="Piloto de combate",Equipo!AI9,IF($H$5="Político",Equipo!AK9,IF($H$5="Prospector",Equipo!AM9,IF($H$5="Protocolo",Equipo!AO9,IF($H$5="Reportero gráfico",Equipo!AQ9,IF($H$5="Seguridad",Equipo!AS9,IF($H$5="Soldado",Equipo!AU9,IF($H$5="Tecno",Equipo!AW9,IF($H$5="Ninguna",Equipo!AY9,"-"))))))))))))))))))))))))))</f>
        <v>0</v>
      </c>
      <c r="AN31" s="83">
        <f>+IF($H$5="Agente",Equipo!B9,IF($H$5="Camorrista",Equipo!D9,IF($H$5="Cazarrecompensas",Equipo!F10,IF($H$5="Científico",Equipo!H10,IF($H$5="Comerciante",Equipo!J10,IF($H$5="Conductor",Equipo!L10,IF($H$5="Deportista",Equipo!N9,IF($H$5="Diletante",Equipo!P10,IF($H$5="Estafador",Equipo!R10,IF($H$5="Explorador",Equipo!T9,IF($H$5="Hacker",Equipo!V9,IF($H$5="Ilustrado",Equipo!X9,IF($H$5="Médico",Equipo!Z9,IF($H$5="Mercante",Equipo!AB9,IF($H$5="Miliciano",Equipo!AD9,IF($H$5="Misionero",Equipo!AF9,IF($H$5="Oficial militar",Equipo!AH9,IF($H$5="Piloto de combate",Equipo!AJ9,IF($H$5="Político",Equipo!AL9,IF($H$5="Prospector",Equipo!AN9,IF($H$5="Protocolo",Equipo!AP9,IF($H$5="Reportero gráfico",Equipo!AR9,IF($H$5="Seguridad",Equipo!AT9,IF($H$5="Soldado",Equipo!AV9,IF($H$5="Tecno",Equipo!AX9,IF($H$5="Ninguna",Equipo!AZ9,"-"))))))))))))))))))))))))))</f>
        <v>0</v>
      </c>
    </row>
    <row r="32" spans="1:40" s="19" customFormat="1" ht="15.75" x14ac:dyDescent="0.2">
      <c r="A32" s="42"/>
      <c r="B32" s="68" t="s">
        <v>43</v>
      </c>
      <c r="C32" s="61">
        <f t="shared" ca="1" si="26"/>
        <v>4</v>
      </c>
      <c r="D32" s="61" t="str">
        <f>+IF(OR($H$5="Científico",$H$5="Médico"),10," ")</f>
        <v xml:space="preserve"> </v>
      </c>
      <c r="E32" s="66"/>
      <c r="F32" s="63">
        <f>IF(D32&lt;&gt;" ",+$O$6,0)</f>
        <v>0</v>
      </c>
      <c r="G32" s="64">
        <f t="shared" ca="1" si="28"/>
        <v>4</v>
      </c>
      <c r="H32" s="60"/>
      <c r="I32" s="61"/>
      <c r="J32" s="61"/>
      <c r="K32" s="66"/>
      <c r="L32" s="63"/>
      <c r="M32" s="64"/>
      <c r="N32" s="60"/>
      <c r="O32" s="61"/>
      <c r="P32" s="61"/>
      <c r="Q32" s="66"/>
      <c r="R32" s="63"/>
      <c r="S32" s="64"/>
      <c r="T32" s="60"/>
      <c r="U32" s="61"/>
      <c r="V32" s="61"/>
      <c r="W32" s="66"/>
      <c r="X32" s="63"/>
      <c r="Y32" s="64"/>
      <c r="Z32" s="60"/>
      <c r="AA32" s="61"/>
      <c r="AB32" s="61"/>
      <c r="AC32" s="66"/>
      <c r="AD32" s="63"/>
      <c r="AE32" s="64"/>
      <c r="AF32" s="68" t="s">
        <v>100</v>
      </c>
      <c r="AG32" s="61">
        <f t="shared" ca="1" si="29"/>
        <v>4</v>
      </c>
      <c r="AH32" s="61" t="str">
        <f>+IF($H$5="Tecno",10," ")</f>
        <v xml:space="preserve"> </v>
      </c>
      <c r="AI32" s="66"/>
      <c r="AJ32" s="63">
        <f>IF(AH32&lt;&gt;" ",+$O$6,0)</f>
        <v>0</v>
      </c>
      <c r="AK32" s="64">
        <f ca="1">+MAX(SUM(AG32:AJ32),$AK$31)</f>
        <v>4</v>
      </c>
      <c r="AL32" s="56"/>
      <c r="AM32" s="59">
        <f>+IF($H$5="Agente",Equipo!A10,IF($H$5="Camorrista",Equipo!C10,IF($H$5="Cazarrecompensas",Equipo!E11,IF($H$5="Científico",Equipo!G11,IF($H$5="Comerciante",Equipo!I11,IF($H$5="Conductor",Equipo!K11,IF($H$5="Deportista",Equipo!M10,IF($H$5="Diletante",Equipo!O11,IF($H$5="Estafador",Equipo!Q11,IF($H$5="Explorador",Equipo!S10,IF($H$5="Hacker",Equipo!U10,IF($H$5="Ilustrado",Equipo!W10,IF($H$5="Médico",Equipo!Y10,IF($H$5="Mercante",Equipo!AA10,IF($H$5="Miliciano",Equipo!AC10,IF($H$5="Misionero",Equipo!AE10,IF($H$5="Oficial militar",Equipo!AG10,IF($H$5="Piloto de combate",Equipo!AI10,IF($H$5="Político",Equipo!AK10,IF($H$5="Prospector",Equipo!AM10,IF($H$5="Protocolo",Equipo!AO10,IF($H$5="Reportero gráfico",Equipo!AQ10,IF($H$5="Seguridad",Equipo!AS10,IF($H$5="Soldado",Equipo!AU10,IF($H$5="Tecno",Equipo!AW10,IF($H$5="Ninguna",Equipo!AY10,"-"))))))))))))))))))))))))))</f>
        <v>0</v>
      </c>
      <c r="AN32" s="83">
        <f>+IF($H$5="Agente",Equipo!B10,IF($H$5="Camorrista",Equipo!D10,IF($H$5="Cazarrecompensas",Equipo!F11,IF($H$5="Científico",Equipo!H11,IF($H$5="Comerciante",Equipo!J11,IF($H$5="Conductor",Equipo!L11,IF($H$5="Deportista",Equipo!N10,IF($H$5="Diletante",Equipo!P11,IF($H$5="Estafador",Equipo!R11,IF($H$5="Explorador",Equipo!T10,IF($H$5="Hacker",Equipo!V10,IF($H$5="Ilustrado",Equipo!X10,IF($H$5="Médico",Equipo!Z10,IF($H$5="Mercante",Equipo!AB10,IF($H$5="Miliciano",Equipo!AD10,IF($H$5="Misionero",Equipo!AF10,IF($H$5="Oficial militar",Equipo!AH10,IF($H$5="Piloto de combate",Equipo!AJ10,IF($H$5="Político",Equipo!AL10,IF($H$5="Prospector",Equipo!AN10,IF($H$5="Protocolo",Equipo!AP10,IF($H$5="Reportero gráfico",Equipo!AR10,IF($H$5="Seguridad",Equipo!AT10,IF($H$5="Soldado",Equipo!AV10,IF($H$5="Tecno",Equipo!AX10,IF($H$5="Ninguna",Equipo!AZ10,"-"))))))))))))))))))))))))))</f>
        <v>0</v>
      </c>
    </row>
    <row r="33" spans="1:40" s="19" customFormat="1" ht="15.75" x14ac:dyDescent="0.2">
      <c r="A33" s="42"/>
      <c r="B33" s="67" t="s">
        <v>44</v>
      </c>
      <c r="C33" s="61">
        <f t="shared" ca="1" si="26"/>
        <v>4</v>
      </c>
      <c r="D33" s="61">
        <f ca="1">+MIN(C33,MAX(D34:D36))</f>
        <v>0</v>
      </c>
      <c r="E33" s="66"/>
      <c r="F33" s="63"/>
      <c r="G33" s="64">
        <f t="shared" ca="1" si="22"/>
        <v>4</v>
      </c>
      <c r="H33" s="60"/>
      <c r="I33" s="61"/>
      <c r="J33" s="61"/>
      <c r="K33" s="66"/>
      <c r="L33" s="63"/>
      <c r="M33" s="64"/>
      <c r="N33" s="60"/>
      <c r="O33" s="61"/>
      <c r="P33" s="61"/>
      <c r="Q33" s="66"/>
      <c r="R33" s="63"/>
      <c r="S33" s="64"/>
      <c r="T33" s="60"/>
      <c r="U33" s="61"/>
      <c r="V33" s="61"/>
      <c r="W33" s="66"/>
      <c r="X33" s="63"/>
      <c r="Y33" s="64"/>
      <c r="Z33" s="60"/>
      <c r="AA33" s="61"/>
      <c r="AB33" s="61"/>
      <c r="AC33" s="66"/>
      <c r="AD33" s="63"/>
      <c r="AE33" s="64"/>
      <c r="AF33" s="68" t="s">
        <v>101</v>
      </c>
      <c r="AG33" s="61">
        <f t="shared" ca="1" si="29"/>
        <v>4</v>
      </c>
      <c r="AH33" s="61" t="str">
        <f>+IF(OR($H$5="Conductor",$H$5="Oficial militar"),5,IF($H$5="Tecno",10," "))</f>
        <v xml:space="preserve"> </v>
      </c>
      <c r="AI33" s="66"/>
      <c r="AJ33" s="63">
        <f>IF(AH33&lt;&gt;" ",+$O$6,0)</f>
        <v>0</v>
      </c>
      <c r="AK33" s="64">
        <f t="shared" ref="AK33:AK36" ca="1" si="30">+MAX(SUM(AG33:AJ33),$AK$31)</f>
        <v>4</v>
      </c>
      <c r="AL33" s="56"/>
      <c r="AM33" s="59">
        <f>+IF($H$5="Agente",Equipo!A11,IF($H$5="Camorrista",Equipo!C11,IF($H$5="Cazarrecompensas",Equipo!E12,IF($H$5="Científico",Equipo!G12,IF($H$5="Comerciante",Equipo!I12,IF($H$5="Conductor",Equipo!K12,IF($H$5="Deportista",Equipo!M11,IF($H$5="Diletante",Equipo!O12,IF($H$5="Estafador",Equipo!Q12,IF($H$5="Explorador",Equipo!S11,IF($H$5="Hacker",Equipo!U11,IF($H$5="Ilustrado",Equipo!W11,IF($H$5="Médico",Equipo!Y11,IF($H$5="Mercante",Equipo!AA11,IF($H$5="Miliciano",Equipo!AC11,IF($H$5="Misionero",Equipo!AE11,IF($H$5="Oficial militar",Equipo!AG11,IF($H$5="Piloto de combate",Equipo!AI11,IF($H$5="Político",Equipo!AK11,IF($H$5="Prospector",Equipo!AM11,IF($H$5="Protocolo",Equipo!AO11,IF($H$5="Reportero gráfico",Equipo!AQ11,IF($H$5="Seguridad",Equipo!AS11,IF($H$5="Soldado",Equipo!AU11,IF($H$5="Tecno",Equipo!AW11,IF($H$5="Ninguna",Equipo!AY11,"-"))))))))))))))))))))))))))</f>
        <v>0</v>
      </c>
      <c r="AN33" s="83">
        <f>+IF($H$5="Agente",Equipo!B11,IF($H$5="Camorrista",Equipo!D11,IF($H$5="Cazarrecompensas",Equipo!F12,IF($H$5="Científico",Equipo!H12,IF($H$5="Comerciante",Equipo!J12,IF($H$5="Conductor",Equipo!L12,IF($H$5="Deportista",Equipo!N11,IF($H$5="Diletante",Equipo!P12,IF($H$5="Estafador",Equipo!R12,IF($H$5="Explorador",Equipo!T11,IF($H$5="Hacker",Equipo!V11,IF($H$5="Ilustrado",Equipo!X11,IF($H$5="Médico",Equipo!Z11,IF($H$5="Mercante",Equipo!AB11,IF($H$5="Miliciano",Equipo!AD11,IF($H$5="Misionero",Equipo!AF11,IF($H$5="Oficial militar",Equipo!AH11,IF($H$5="Piloto de combate",Equipo!AJ11,IF($H$5="Político",Equipo!AL11,IF($H$5="Prospector",Equipo!AN11,IF($H$5="Protocolo",Equipo!AP11,IF($H$5="Reportero gráfico",Equipo!AR11,IF($H$5="Seguridad",Equipo!AT11,IF($H$5="Soldado",Equipo!AV11,IF($H$5="Tecno",Equipo!AX11,IF($H$5="Ninguna",Equipo!AZ11,"-"))))))))))))))))))))))))))</f>
        <v>0</v>
      </c>
    </row>
    <row r="34" spans="1:40" s="19" customFormat="1" ht="15.75" x14ac:dyDescent="0.2">
      <c r="A34" s="42"/>
      <c r="B34" s="68" t="s">
        <v>45</v>
      </c>
      <c r="C34" s="61">
        <f t="shared" ca="1" si="26"/>
        <v>4</v>
      </c>
      <c r="D34" s="61" t="str">
        <f>+IF($H$5="Mercante",8,IF($H$5="Oficial militar",13," "))</f>
        <v xml:space="preserve"> </v>
      </c>
      <c r="E34" s="66"/>
      <c r="F34" s="63">
        <f>IF(D34&lt;&gt;" ",+$O$6,0)</f>
        <v>0</v>
      </c>
      <c r="G34" s="64">
        <f ca="1">+MAX(SUM(C34:F34),$G$33)</f>
        <v>4</v>
      </c>
      <c r="H34" s="60"/>
      <c r="I34" s="61"/>
      <c r="J34" s="61"/>
      <c r="K34" s="66"/>
      <c r="L34" s="63"/>
      <c r="M34" s="64"/>
      <c r="N34" s="60"/>
      <c r="O34" s="61"/>
      <c r="P34" s="61"/>
      <c r="Q34" s="66"/>
      <c r="R34" s="63"/>
      <c r="S34" s="64"/>
      <c r="T34" s="60"/>
      <c r="U34" s="61"/>
      <c r="V34" s="61"/>
      <c r="W34" s="66"/>
      <c r="X34" s="63"/>
      <c r="Y34" s="64"/>
      <c r="Z34" s="60"/>
      <c r="AA34" s="61"/>
      <c r="AB34" s="61"/>
      <c r="AC34" s="66"/>
      <c r="AD34" s="63"/>
      <c r="AE34" s="64"/>
      <c r="AF34" s="68" t="s">
        <v>111</v>
      </c>
      <c r="AG34" s="61">
        <f t="shared" ca="1" si="29"/>
        <v>4</v>
      </c>
      <c r="AH34" s="61" t="str">
        <f>+IF($H$5="Prospector",5," ")</f>
        <v xml:space="preserve"> </v>
      </c>
      <c r="AI34" s="66"/>
      <c r="AJ34" s="63">
        <f>IF(AH34&lt;&gt;" ",+$O$6,0)</f>
        <v>0</v>
      </c>
      <c r="AK34" s="64">
        <f t="shared" ca="1" si="30"/>
        <v>4</v>
      </c>
      <c r="AL34" s="56"/>
      <c r="AM34" s="59">
        <f>+IF($H$5="Agente",Equipo!A12,IF($H$5="Camorrista",Equipo!C12,IF($H$5="Cazarrecompensas",Equipo!E13,IF($H$5="Científico",Equipo!G13,IF($H$5="Comerciante",Equipo!I13,IF($H$5="Conductor",Equipo!K13,IF($H$5="Deportista",Equipo!M12,IF($H$5="Diletante",Equipo!O13,IF($H$5="Estafador",Equipo!Q13,IF($H$5="Explorador",Equipo!S12,IF($H$5="Hacker",Equipo!U12,IF($H$5="Ilustrado",Equipo!W12,IF($H$5="Médico",Equipo!Y12,IF($H$5="Mercante",Equipo!AA12,IF($H$5="Miliciano",Equipo!AC12,IF($H$5="Misionero",Equipo!AE12,IF($H$5="Oficial militar",Equipo!AG12,IF($H$5="Piloto de combate",Equipo!AI12,IF($H$5="Político",Equipo!AK12,IF($H$5="Prospector",Equipo!AM12,IF($H$5="Protocolo",Equipo!AO12,IF($H$5="Reportero gráfico",Equipo!AQ12,IF($H$5="Seguridad",Equipo!AS12,IF($H$5="Soldado",Equipo!AU12,IF($H$5="Tecno",Equipo!AW12,IF($H$5="Ninguna",Equipo!AY12,"-"))))))))))))))))))))))))))</f>
        <v>0</v>
      </c>
      <c r="AN34" s="83">
        <f>+IF($H$5="Agente",Equipo!B12,IF($H$5="Camorrista",Equipo!D12,IF($H$5="Cazarrecompensas",Equipo!F13,IF($H$5="Científico",Equipo!H13,IF($H$5="Comerciante",Equipo!J13,IF($H$5="Conductor",Equipo!L13,IF($H$5="Deportista",Equipo!N12,IF($H$5="Diletante",Equipo!P13,IF($H$5="Estafador",Equipo!R13,IF($H$5="Explorador",Equipo!T12,IF($H$5="Hacker",Equipo!V12,IF($H$5="Ilustrado",Equipo!X12,IF($H$5="Médico",Equipo!Z12,IF($H$5="Mercante",Equipo!AB12,IF($H$5="Miliciano",Equipo!AD12,IF($H$5="Misionero",Equipo!AF12,IF($H$5="Oficial militar",Equipo!AH12,IF($H$5="Piloto de combate",Equipo!AJ12,IF($H$5="Político",Equipo!AL12,IF($H$5="Prospector",Equipo!AN12,IF($H$5="Protocolo",Equipo!AP12,IF($H$5="Reportero gráfico",Equipo!AR12,IF($H$5="Seguridad",Equipo!AT12,IF($H$5="Soldado",Equipo!AV12,IF($H$5="Tecno",Equipo!AX12,IF($H$5="Ninguna",Equipo!AZ12,"-"))))))))))))))))))))))))))</f>
        <v>0</v>
      </c>
    </row>
    <row r="35" spans="1:40" s="19" customFormat="1" ht="15.75" x14ac:dyDescent="0.2">
      <c r="A35" s="42"/>
      <c r="B35" s="68" t="s">
        <v>46</v>
      </c>
      <c r="C35" s="61">
        <f t="shared" ca="1" si="26"/>
        <v>4</v>
      </c>
      <c r="D35" s="61" t="s">
        <v>287</v>
      </c>
      <c r="E35" s="66"/>
      <c r="F35" s="63">
        <f>IF(D35&lt;&gt;" ",+$O$6,0)</f>
        <v>0</v>
      </c>
      <c r="G35" s="64">
        <f t="shared" ref="G35:G36" ca="1" si="31">+MAX(SUM(C35:F35),$G$33)</f>
        <v>4</v>
      </c>
      <c r="H35" s="60"/>
      <c r="I35" s="61"/>
      <c r="J35" s="61"/>
      <c r="K35" s="66"/>
      <c r="L35" s="63"/>
      <c r="M35" s="64"/>
      <c r="N35" s="60"/>
      <c r="O35" s="61"/>
      <c r="P35" s="61"/>
      <c r="Q35" s="66"/>
      <c r="R35" s="63"/>
      <c r="S35" s="64"/>
      <c r="T35" s="60"/>
      <c r="U35" s="61"/>
      <c r="V35" s="61"/>
      <c r="W35" s="66"/>
      <c r="X35" s="63"/>
      <c r="Y35" s="64"/>
      <c r="Z35" s="60"/>
      <c r="AA35" s="61"/>
      <c r="AB35" s="61"/>
      <c r="AC35" s="66"/>
      <c r="AD35" s="63"/>
      <c r="AE35" s="64"/>
      <c r="AF35" s="68" t="s">
        <v>102</v>
      </c>
      <c r="AG35" s="61">
        <f t="shared" ca="1" si="29"/>
        <v>4</v>
      </c>
      <c r="AH35" s="61" t="str">
        <f>+IF(OR($H$5="Oficial militar",$H$5="Prospector"),5,IF($H$5="Tecno",10," "))</f>
        <v xml:space="preserve"> </v>
      </c>
      <c r="AI35" s="66"/>
      <c r="AJ35" s="63">
        <f>IF(AH35&lt;&gt;" ",+$O$6,0)</f>
        <v>0</v>
      </c>
      <c r="AK35" s="64">
        <f t="shared" ca="1" si="30"/>
        <v>4</v>
      </c>
      <c r="AL35" s="56"/>
      <c r="AM35" s="59">
        <f>+IF($H$5="Agente",Equipo!A13,IF($H$5="Camorrista",Equipo!C13,IF($H$5="Cazarrecompensas",Equipo!E14,IF($H$5="Científico",Equipo!G14,IF($H$5="Comerciante",Equipo!I14,IF($H$5="Conductor",Equipo!K14,IF($H$5="Deportista",Equipo!M13,IF($H$5="Diletante",Equipo!O14,IF($H$5="Estafador",Equipo!Q14,IF($H$5="Explorador",Equipo!S13,IF($H$5="Hacker",Equipo!U13,IF($H$5="Ilustrado",Equipo!W13,IF($H$5="Médico",Equipo!Y13,IF($H$5="Mercante",Equipo!AA13,IF($H$5="Miliciano",Equipo!AC13,IF($H$5="Misionero",Equipo!AE13,IF($H$5="Oficial militar",Equipo!AG13,IF($H$5="Piloto de combate",Equipo!AI13,IF($H$5="Político",Equipo!AK13,IF($H$5="Prospector",Equipo!AM13,IF($H$5="Protocolo",Equipo!AO13,IF($H$5="Reportero gráfico",Equipo!AQ13,IF($H$5="Seguridad",Equipo!AS13,IF($H$5="Soldado",Equipo!AU13,IF($H$5="Tecno",Equipo!AW13,IF($H$5="Ninguna",Equipo!AY13,"-"))))))))))))))))))))))))))</f>
        <v>0</v>
      </c>
      <c r="AN35" s="83">
        <f>+IF($H$5="Agente",Equipo!B13,IF($H$5="Camorrista",Equipo!D13,IF($H$5="Cazarrecompensas",Equipo!F14,IF($H$5="Científico",Equipo!H14,IF($H$5="Comerciante",Equipo!J14,IF($H$5="Conductor",Equipo!L14,IF($H$5="Deportista",Equipo!N13,IF($H$5="Diletante",Equipo!P14,IF($H$5="Estafador",Equipo!R14,IF($H$5="Explorador",Equipo!T13,IF($H$5="Hacker",Equipo!V13,IF($H$5="Ilustrado",Equipo!X13,IF($H$5="Médico",Equipo!Z13,IF($H$5="Mercante",Equipo!AB13,IF($H$5="Miliciano",Equipo!AD13,IF($H$5="Misionero",Equipo!AF13,IF($H$5="Oficial militar",Equipo!AH13,IF($H$5="Piloto de combate",Equipo!AJ13,IF($H$5="Político",Equipo!AL13,IF($H$5="Prospector",Equipo!AN13,IF($H$5="Protocolo",Equipo!AP13,IF($H$5="Reportero gráfico",Equipo!AR13,IF($H$5="Seguridad",Equipo!AT13,IF($H$5="Soldado",Equipo!AV13,IF($H$5="Tecno",Equipo!AX13,IF($H$5="Ninguna",Equipo!AZ13,"-"))))))))))))))))))))))))))</f>
        <v>0</v>
      </c>
    </row>
    <row r="36" spans="1:40" s="19" customFormat="1" ht="15.75" x14ac:dyDescent="0.2">
      <c r="A36" s="42"/>
      <c r="B36" s="68" t="s">
        <v>47</v>
      </c>
      <c r="C36" s="61">
        <f t="shared" ca="1" si="26"/>
        <v>4</v>
      </c>
      <c r="D36" s="61" t="str">
        <f>+IF($H$5="Oficial militar",13," ")</f>
        <v xml:space="preserve"> </v>
      </c>
      <c r="E36" s="66"/>
      <c r="F36" s="63">
        <f>IF(D36&lt;&gt;" ",+$O$6,0)</f>
        <v>0</v>
      </c>
      <c r="G36" s="64">
        <f t="shared" ca="1" si="31"/>
        <v>4</v>
      </c>
      <c r="H36" s="60"/>
      <c r="I36" s="61"/>
      <c r="J36" s="61"/>
      <c r="K36" s="66"/>
      <c r="L36" s="63"/>
      <c r="M36" s="64"/>
      <c r="N36" s="60"/>
      <c r="O36" s="61"/>
      <c r="P36" s="61"/>
      <c r="Q36" s="66"/>
      <c r="R36" s="63"/>
      <c r="S36" s="64"/>
      <c r="T36" s="60"/>
      <c r="U36" s="61"/>
      <c r="V36" s="61"/>
      <c r="W36" s="66"/>
      <c r="X36" s="63"/>
      <c r="Y36" s="64"/>
      <c r="Z36" s="60"/>
      <c r="AA36" s="61"/>
      <c r="AB36" s="61"/>
      <c r="AC36" s="66"/>
      <c r="AD36" s="63"/>
      <c r="AE36" s="64"/>
      <c r="AF36" s="68" t="s">
        <v>103</v>
      </c>
      <c r="AG36" s="61">
        <f t="shared" ca="1" si="29"/>
        <v>4</v>
      </c>
      <c r="AH36" s="61" t="str">
        <f>+IF($H$5="Tecno",10," ")</f>
        <v xml:space="preserve"> </v>
      </c>
      <c r="AI36" s="66"/>
      <c r="AJ36" s="63">
        <f>IF(AH36&lt;&gt;" ",+$O$6,0)</f>
        <v>0</v>
      </c>
      <c r="AK36" s="64">
        <f t="shared" ca="1" si="30"/>
        <v>4</v>
      </c>
      <c r="AL36" s="56"/>
      <c r="AM36" s="59">
        <f>+IF($H$5="Agente",Equipo!A14,IF($H$5="Camorrista",Equipo!C14,IF($H$5="Cazarrecompensas",Equipo!E15,IF($H$5="Científico",Equipo!G15,IF($H$5="Comerciante",Equipo!I15,IF($H$5="Conductor",Equipo!K15,IF($H$5="Deportista",Equipo!M14,IF($H$5="Diletante",Equipo!O15,IF($H$5="Estafador",Equipo!Q15,IF($H$5="Explorador",Equipo!S14,IF($H$5="Hacker",Equipo!U14,IF($H$5="Ilustrado",Equipo!W14,IF($H$5="Médico",Equipo!Y14,IF($H$5="Mercante",Equipo!AA14,IF($H$5="Miliciano",Equipo!AC14,IF($H$5="Misionero",Equipo!AE14,IF($H$5="Oficial militar",Equipo!AG14,IF($H$5="Piloto de combate",Equipo!AI14,IF($H$5="Político",Equipo!AK14,IF($H$5="Prospector",Equipo!AM14,IF($H$5="Protocolo",Equipo!AO14,IF($H$5="Reportero gráfico",Equipo!AQ14,IF($H$5="Seguridad",Equipo!AS14,IF($H$5="Soldado",Equipo!AU14,IF($H$5="Tecno",Equipo!AW14,IF($H$5="Ninguna",Equipo!AY14,"-"))))))))))))))))))))))))))</f>
        <v>0</v>
      </c>
      <c r="AN36" s="84">
        <f>+IF($H$5="Agente",Equipo!B14,IF($H$5="Camorrista",Equipo!D14,IF($H$5="Cazarrecompensas",Equipo!F15,IF($H$5="Científico",Equipo!H15,IF($H$5="Comerciante",Equipo!J15,IF($H$5="Conductor",Equipo!L15,IF($H$5="Deportista",Equipo!N14,IF($H$5="Diletante",Equipo!P15,IF($H$5="Estafador",Equipo!R15,IF($H$5="Explorador",Equipo!T14,IF($H$5="Hacker",Equipo!V14,IF($H$5="Ilustrado",Equipo!X14,IF($H$5="Médico",Equipo!Z14,IF($H$5="Mercante",Equipo!AB14,IF($H$5="Miliciano",Equipo!AD14,IF($H$5="Misionero",Equipo!AF14,IF($H$5="Oficial militar",Equipo!AH14,IF($H$5="Piloto de combate",Equipo!AJ14,IF($H$5="Político",Equipo!AL14,IF($H$5="Prospector",Equipo!AN14,IF($H$5="Protocolo",Equipo!AP14,IF($H$5="Reportero gráfico",Equipo!AR14,IF($H$5="Seguridad",Equipo!AT14,IF($H$5="Soldado",Equipo!AV14,IF($H$5="Tecno",Equipo!AX14,IF($H$5="Ninguna",Equipo!AZ14,"-"))))))))))))))))))))))))))</f>
        <v>0</v>
      </c>
    </row>
    <row r="37" spans="1:40" s="19" customFormat="1" ht="15.75" x14ac:dyDescent="0.2">
      <c r="A37" s="42"/>
      <c r="B37" s="60" t="s">
        <v>280</v>
      </c>
      <c r="C37" s="61">
        <f ca="1">+$S$8</f>
        <v>9</v>
      </c>
      <c r="D37" s="61">
        <f>10+IF($H$5="Protocolo",6,0)</f>
        <v>10</v>
      </c>
      <c r="E37" s="66"/>
      <c r="F37" s="63">
        <v>0</v>
      </c>
      <c r="G37" s="64">
        <f ca="1">+SUM(C37,D37:F37)</f>
        <v>19</v>
      </c>
      <c r="H37" s="60"/>
      <c r="I37" s="61"/>
      <c r="J37" s="61"/>
      <c r="K37" s="66"/>
      <c r="L37" s="63"/>
      <c r="M37" s="64"/>
      <c r="N37" s="60"/>
      <c r="O37" s="61"/>
      <c r="P37" s="61"/>
      <c r="Q37" s="66"/>
      <c r="R37" s="63"/>
      <c r="S37" s="64"/>
      <c r="T37" s="60"/>
      <c r="U37" s="61"/>
      <c r="V37" s="61"/>
      <c r="W37" s="66"/>
      <c r="X37" s="63"/>
      <c r="Y37" s="64"/>
      <c r="Z37" s="60"/>
      <c r="AA37" s="61"/>
      <c r="AB37" s="61"/>
      <c r="AC37" s="66"/>
      <c r="AD37" s="63"/>
      <c r="AE37" s="64"/>
      <c r="AF37" s="60"/>
      <c r="AG37" s="61"/>
      <c r="AH37" s="61"/>
      <c r="AI37" s="66"/>
      <c r="AJ37" s="63"/>
      <c r="AK37" s="64"/>
      <c r="AL37" s="56"/>
      <c r="AM37" s="59">
        <f>+IF($H$5="Agente",Equipo!A15,IF($H$5="Camorrista",Equipo!C15,IF($H$5="Cazarrecompensas",Equipo!E16,IF($H$5="Científico",Equipo!G16,IF($H$5="Comerciante",Equipo!I16,IF($H$5="Conductor",Equipo!K16,IF($H$5="Deportista",Equipo!M15,IF($H$5="Diletante",Equipo!O16,IF($H$5="Estafador",Equipo!Q16,IF($H$5="Explorador",Equipo!S15,IF($H$5="Hacker",Equipo!U15,IF($H$5="Ilustrado",Equipo!W15,IF($H$5="Médico",Equipo!Y15,IF($H$5="Mercante",Equipo!AA15,IF($H$5="Miliciano",Equipo!AC15,IF($H$5="Misionero",Equipo!AE15,IF($H$5="Oficial militar",Equipo!AG15,IF($H$5="Piloto de combate",Equipo!AI15,IF($H$5="Político",Equipo!AK15,IF($H$5="Prospector",Equipo!AM15,IF($H$5="Protocolo",Equipo!AO15,IF($H$5="Reportero gráfico",Equipo!AQ15,IF($H$5="Seguridad",Equipo!AS15,IF($H$5="Soldado",Equipo!AU15,IF($H$5="Tecno",Equipo!AW15,IF($H$5="Ninguna",Equipo!AY15,"-"))))))))))))))))))))))))))</f>
        <v>0</v>
      </c>
      <c r="AN37" s="83">
        <f>+IF($H$5="Agente",Equipo!B15,IF($H$5="Camorrista",Equipo!D15,IF($H$5="Cazarrecompensas",Equipo!F16,IF($H$5="Científico",Equipo!H16,IF($H$5="Comerciante",Equipo!J16,IF($H$5="Conductor",Equipo!L16,IF($H$5="Deportista",Equipo!N15,IF($H$5="Diletante",Equipo!P16,IF($H$5="Estafador",Equipo!R16,IF($H$5="Explorador",Equipo!T15,IF($H$5="Hacker",Equipo!V15,IF($H$5="Ilustrado",Equipo!X15,IF($H$5="Médico",Equipo!Z15,IF($H$5="Mercante",Equipo!AB15,IF($H$5="Miliciano",Equipo!AD15,IF($H$5="Misionero",Equipo!AF15,IF($H$5="Oficial militar",Equipo!AH15,IF($H$5="Piloto de combate",Equipo!AJ15,IF($H$5="Político",Equipo!AL15,IF($H$5="Prospector",Equipo!AN15,IF($H$5="Protocolo",Equipo!AP15,IF($H$5="Reportero gráfico",Equipo!AR15,IF($H$5="Seguridad",Equipo!AT15,IF($H$5="Soldado",Equipo!AV15,IF($H$5="Tecno",Equipo!AX15,IF($H$5="Ninguna",Equipo!AZ15,"-"))))))))))))))))))))))))))</f>
        <v>0</v>
      </c>
    </row>
    <row r="38" spans="1:40" s="19" customFormat="1" ht="15.75" x14ac:dyDescent="0.2">
      <c r="A38" s="42"/>
      <c r="B38" s="60" t="s">
        <v>281</v>
      </c>
      <c r="C38" s="61">
        <f ca="1">+$S$9</f>
        <v>4</v>
      </c>
      <c r="D38" s="61" t="str">
        <f>+IF($H$5="Protocolo",12," ")</f>
        <v xml:space="preserve"> </v>
      </c>
      <c r="E38" s="66"/>
      <c r="F38" s="63">
        <f>IF(D38&lt;&gt;" ",+$O$6,0)</f>
        <v>0</v>
      </c>
      <c r="G38" s="64">
        <f ca="1">+SUM(C38:F38)</f>
        <v>4</v>
      </c>
      <c r="H38" s="60"/>
      <c r="I38" s="61"/>
      <c r="J38" s="61"/>
      <c r="K38" s="66"/>
      <c r="L38" s="63"/>
      <c r="M38" s="64"/>
      <c r="N38" s="60"/>
      <c r="O38" s="61"/>
      <c r="P38" s="61"/>
      <c r="Q38" s="66"/>
      <c r="R38" s="63"/>
      <c r="S38" s="64"/>
      <c r="T38" s="60"/>
      <c r="U38" s="61"/>
      <c r="V38" s="61"/>
      <c r="W38" s="66"/>
      <c r="X38" s="63"/>
      <c r="Y38" s="64"/>
      <c r="Z38" s="60"/>
      <c r="AA38" s="61"/>
      <c r="AB38" s="61"/>
      <c r="AC38" s="66"/>
      <c r="AD38" s="63"/>
      <c r="AE38" s="64"/>
      <c r="AF38" s="60"/>
      <c r="AG38" s="61"/>
      <c r="AH38" s="61"/>
      <c r="AI38" s="66"/>
      <c r="AJ38" s="63"/>
      <c r="AK38" s="64"/>
      <c r="AL38" s="56"/>
      <c r="AM38" s="59">
        <f>+IF($H$5="Agente",Equipo!A16,IF($H$5="Camorrista",Equipo!C16,IF($H$5="Cazarrecompensas",Equipo!E17,IF($H$5="Científico",Equipo!G17,IF($H$5="Comerciante",Equipo!I17,IF($H$5="Conductor",Equipo!K17,IF($H$5="Deportista",Equipo!M16,IF($H$5="Diletante",Equipo!O17,IF($H$5="Estafador",Equipo!Q17,IF($H$5="Explorador",Equipo!S16,IF($H$5="Hacker",Equipo!U16,IF($H$5="Ilustrado",Equipo!W16,IF($H$5="Médico",Equipo!Y16,IF($H$5="Mercante",Equipo!AA16,IF($H$5="Miliciano",Equipo!AC16,IF($H$5="Misionero",Equipo!AE16,IF($H$5="Oficial militar",Equipo!AG16,IF($H$5="Piloto de combate",Equipo!AI16,IF($H$5="Político",Equipo!AK16,IF($H$5="Prospector",Equipo!AM16,IF($H$5="Protocolo",Equipo!AO16,IF($H$5="Reportero gráfico",Equipo!AQ16,IF($H$5="Seguridad",Equipo!AS16,IF($H$5="Soldado",Equipo!AU16,IF($H$5="Tecno",Equipo!AW16,IF($H$5="Ninguna",Equipo!AY16,"-"))))))))))))))))))))))))))</f>
        <v>0</v>
      </c>
      <c r="AN38" s="84">
        <f>+IF($H$5="Agente",Equipo!B16,IF($H$5="Camorrista",Equipo!D16,IF($H$5="Cazarrecompensas",Equipo!F17,IF($H$5="Científico",Equipo!H17,IF($H$5="Comerciante",Equipo!J17,IF($H$5="Conductor",Equipo!L17,IF($H$5="Deportista",Equipo!N16,IF($H$5="Diletante",Equipo!P17,IF($H$5="Estafador",Equipo!R17,IF($H$5="Explorador",Equipo!T16,IF($H$5="Hacker",Equipo!V16,IF($H$5="Ilustrado",Equipo!X16,IF($H$5="Médico",Equipo!Z16,IF($H$5="Mercante",Equipo!AB16,IF($H$5="Miliciano",Equipo!AD16,IF($H$5="Misionero",Equipo!AF16,IF($H$5="Oficial militar",Equipo!AH16,IF($H$5="Piloto de combate",Equipo!AJ16,IF($H$5="Político",Equipo!AL16,IF($H$5="Prospector",Equipo!AN16,IF($H$5="Protocolo",Equipo!AP16,IF($H$5="Reportero gráfico",Equipo!AR16,IF($H$5="Seguridad",Equipo!AT16,IF($H$5="Soldado",Equipo!AV16,IF($H$5="Tecno",Equipo!AX16,IF($H$5="Ninguna",Equipo!AZ16,"-"))))))))))))))))))))))))))</f>
        <v>0</v>
      </c>
    </row>
    <row r="39" spans="1:40" s="19" customFormat="1" ht="18" x14ac:dyDescent="0.2">
      <c r="A39" s="42"/>
      <c r="B39" s="60" t="s">
        <v>281</v>
      </c>
      <c r="C39" s="61">
        <f ca="1">+$S$9</f>
        <v>4</v>
      </c>
      <c r="D39" s="61" t="str">
        <f>+IF($H$5="Protocolo",12," ")</f>
        <v xml:space="preserve"> </v>
      </c>
      <c r="E39" s="66"/>
      <c r="F39" s="63">
        <f>IF(D39&lt;&gt;" ",+$O$6,0)</f>
        <v>0</v>
      </c>
      <c r="G39" s="64">
        <f t="shared" ref="G39:G40" ca="1" si="32">+SUM(C39:F39)</f>
        <v>4</v>
      </c>
      <c r="H39" s="60"/>
      <c r="I39" s="61"/>
      <c r="J39" s="61"/>
      <c r="K39" s="66"/>
      <c r="L39" s="63"/>
      <c r="M39" s="64"/>
      <c r="N39" s="60"/>
      <c r="O39" s="61"/>
      <c r="P39" s="61"/>
      <c r="Q39" s="66"/>
      <c r="R39" s="63"/>
      <c r="S39" s="64"/>
      <c r="T39" s="60"/>
      <c r="U39" s="61"/>
      <c r="V39" s="61"/>
      <c r="W39" s="66"/>
      <c r="X39" s="63"/>
      <c r="Y39" s="64"/>
      <c r="Z39" s="60"/>
      <c r="AA39" s="61"/>
      <c r="AB39" s="61"/>
      <c r="AC39" s="66"/>
      <c r="AD39" s="63"/>
      <c r="AE39" s="64"/>
      <c r="AF39" s="60"/>
      <c r="AG39" s="61"/>
      <c r="AH39" s="61"/>
      <c r="AI39" s="66"/>
      <c r="AJ39" s="63"/>
      <c r="AK39" s="64"/>
      <c r="AL39" s="56"/>
      <c r="AM39" s="55" t="s">
        <v>479</v>
      </c>
      <c r="AN39" s="81">
        <f ca="1">+RANDBETWEEN(1,500)</f>
        <v>211</v>
      </c>
    </row>
    <row r="40" spans="1:40" s="19" customFormat="1" ht="16.5" thickBot="1" x14ac:dyDescent="0.25">
      <c r="A40" s="42"/>
      <c r="B40" s="70" t="s">
        <v>49</v>
      </c>
      <c r="C40" s="71">
        <f ca="1">+$S$9</f>
        <v>4</v>
      </c>
      <c r="D40" s="71" t="str">
        <f>+IF($H$5="Médico",12," ")</f>
        <v xml:space="preserve"> </v>
      </c>
      <c r="E40" s="72"/>
      <c r="F40" s="73">
        <f>IF(D40&lt;&gt;" ",+$O$6,0)</f>
        <v>0</v>
      </c>
      <c r="G40" s="74">
        <f t="shared" ca="1" si="32"/>
        <v>4</v>
      </c>
      <c r="H40" s="70"/>
      <c r="I40" s="71"/>
      <c r="J40" s="71"/>
      <c r="K40" s="72"/>
      <c r="L40" s="73"/>
      <c r="M40" s="74"/>
      <c r="N40" s="70"/>
      <c r="O40" s="71"/>
      <c r="P40" s="71"/>
      <c r="Q40" s="72"/>
      <c r="R40" s="73"/>
      <c r="S40" s="74"/>
      <c r="T40" s="70"/>
      <c r="U40" s="71"/>
      <c r="V40" s="71"/>
      <c r="W40" s="72"/>
      <c r="X40" s="73"/>
      <c r="Y40" s="74"/>
      <c r="Z40" s="70"/>
      <c r="AA40" s="71"/>
      <c r="AB40" s="71"/>
      <c r="AC40" s="72"/>
      <c r="AD40" s="73"/>
      <c r="AE40" s="74"/>
      <c r="AF40" s="70"/>
      <c r="AG40" s="71"/>
      <c r="AH40" s="71"/>
      <c r="AI40" s="72"/>
      <c r="AJ40" s="73"/>
      <c r="AK40" s="74"/>
      <c r="AL40" s="56"/>
      <c r="AM40" s="57"/>
      <c r="AN40" s="58"/>
    </row>
    <row r="41" spans="1:40" ht="15.75" thickBot="1" x14ac:dyDescent="0.25"/>
    <row r="42" spans="1:40" s="19" customFormat="1" ht="18.75" thickBot="1" x14ac:dyDescent="0.4">
      <c r="B42" s="133"/>
      <c r="C42" s="134"/>
      <c r="D42" s="134"/>
      <c r="E42" s="149" t="s">
        <v>546</v>
      </c>
      <c r="F42" s="149"/>
      <c r="G42" s="150" t="s">
        <v>230</v>
      </c>
      <c r="K42" s="153" t="s">
        <v>547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  <c r="AM42" s="116" t="s">
        <v>538</v>
      </c>
      <c r="AN42" s="117"/>
    </row>
    <row r="43" spans="1:40" s="19" customFormat="1" ht="16.5" customHeight="1" x14ac:dyDescent="0.2">
      <c r="B43" s="141" t="s">
        <v>539</v>
      </c>
      <c r="C43" s="137"/>
      <c r="D43" s="137"/>
      <c r="E43" s="143"/>
      <c r="F43" s="137"/>
      <c r="G43" s="138"/>
      <c r="K43" s="128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42"/>
      <c r="AM43" s="112"/>
      <c r="AN43" s="113"/>
    </row>
    <row r="44" spans="1:40" s="19" customFormat="1" ht="15.75" x14ac:dyDescent="0.2">
      <c r="B44" s="141"/>
      <c r="C44" s="137"/>
      <c r="D44" s="137"/>
      <c r="E44" s="143"/>
      <c r="F44" s="137"/>
      <c r="G44" s="138"/>
      <c r="K44" s="128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42"/>
      <c r="AM44" s="114"/>
      <c r="AN44" s="115"/>
    </row>
    <row r="45" spans="1:40" s="19" customFormat="1" ht="16.5" customHeight="1" x14ac:dyDescent="0.2">
      <c r="B45" s="145" t="s">
        <v>540</v>
      </c>
      <c r="C45" s="146"/>
      <c r="D45" s="146"/>
      <c r="E45" s="147"/>
      <c r="F45" s="146"/>
      <c r="G45" s="148"/>
      <c r="K45" s="128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42"/>
      <c r="AM45" s="114"/>
      <c r="AN45" s="115"/>
    </row>
    <row r="46" spans="1:40" s="19" customFormat="1" ht="15.75" x14ac:dyDescent="0.2">
      <c r="B46" s="145"/>
      <c r="C46" s="146"/>
      <c r="D46" s="146"/>
      <c r="E46" s="147"/>
      <c r="F46" s="146"/>
      <c r="G46" s="148"/>
      <c r="K46" s="128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42"/>
      <c r="AM46" s="114"/>
      <c r="AN46" s="115"/>
    </row>
    <row r="47" spans="1:40" s="19" customFormat="1" ht="16.5" customHeight="1" x14ac:dyDescent="0.2">
      <c r="B47" s="141" t="s">
        <v>541</v>
      </c>
      <c r="C47" s="137"/>
      <c r="D47" s="137"/>
      <c r="E47" s="143"/>
      <c r="F47" s="137"/>
      <c r="G47" s="138"/>
      <c r="K47" s="128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42"/>
      <c r="AM47" s="114"/>
      <c r="AN47" s="115"/>
    </row>
    <row r="48" spans="1:40" s="19" customFormat="1" ht="15.75" x14ac:dyDescent="0.2">
      <c r="B48" s="141"/>
      <c r="C48" s="137"/>
      <c r="D48" s="137"/>
      <c r="E48" s="143"/>
      <c r="F48" s="137"/>
      <c r="G48" s="138"/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42"/>
      <c r="AM48" s="114"/>
      <c r="AN48" s="115"/>
    </row>
    <row r="49" spans="2:40" s="19" customFormat="1" ht="16.5" customHeight="1" x14ac:dyDescent="0.2">
      <c r="B49" s="145" t="s">
        <v>542</v>
      </c>
      <c r="C49" s="146"/>
      <c r="D49" s="146"/>
      <c r="E49" s="147"/>
      <c r="F49" s="146"/>
      <c r="G49" s="148"/>
      <c r="K49" s="128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42"/>
      <c r="AM49" s="114"/>
      <c r="AN49" s="115"/>
    </row>
    <row r="50" spans="2:40" s="19" customFormat="1" ht="15.75" x14ac:dyDescent="0.2">
      <c r="B50" s="145"/>
      <c r="C50" s="146"/>
      <c r="D50" s="146"/>
      <c r="E50" s="147"/>
      <c r="F50" s="146"/>
      <c r="G50" s="148"/>
      <c r="K50" s="128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42"/>
      <c r="AM50" s="114"/>
      <c r="AN50" s="115"/>
    </row>
    <row r="51" spans="2:40" s="19" customFormat="1" ht="16.5" customHeight="1" x14ac:dyDescent="0.2">
      <c r="B51" s="141" t="s">
        <v>543</v>
      </c>
      <c r="C51" s="137"/>
      <c r="D51" s="137"/>
      <c r="E51" s="143"/>
      <c r="F51" s="137"/>
      <c r="G51" s="138"/>
      <c r="K51" s="128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42"/>
      <c r="AM51" s="114"/>
      <c r="AN51" s="115"/>
    </row>
    <row r="52" spans="2:40" s="19" customFormat="1" ht="15.75" x14ac:dyDescent="0.2">
      <c r="B52" s="141"/>
      <c r="C52" s="137"/>
      <c r="D52" s="137"/>
      <c r="E52" s="143"/>
      <c r="F52" s="137"/>
      <c r="G52" s="138"/>
      <c r="K52" s="128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42"/>
      <c r="AM52" s="114"/>
      <c r="AN52" s="115"/>
    </row>
    <row r="53" spans="2:40" s="19" customFormat="1" ht="16.5" customHeight="1" x14ac:dyDescent="0.2">
      <c r="B53" s="145" t="s">
        <v>544</v>
      </c>
      <c r="C53" s="146"/>
      <c r="D53" s="146"/>
      <c r="E53" s="147"/>
      <c r="F53" s="146"/>
      <c r="G53" s="148"/>
      <c r="K53" s="128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42"/>
      <c r="AM53" s="114"/>
      <c r="AN53" s="115"/>
    </row>
    <row r="54" spans="2:40" s="19" customFormat="1" ht="15.75" x14ac:dyDescent="0.2">
      <c r="B54" s="145"/>
      <c r="C54" s="146"/>
      <c r="D54" s="146"/>
      <c r="E54" s="147"/>
      <c r="F54" s="146"/>
      <c r="G54" s="148"/>
      <c r="K54" s="128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42"/>
      <c r="AM54" s="114"/>
      <c r="AN54" s="115"/>
    </row>
    <row r="55" spans="2:40" s="19" customFormat="1" ht="16.5" customHeight="1" x14ac:dyDescent="0.2">
      <c r="B55" s="141" t="s">
        <v>545</v>
      </c>
      <c r="C55" s="137"/>
      <c r="D55" s="137"/>
      <c r="E55" s="143"/>
      <c r="F55" s="137"/>
      <c r="G55" s="138"/>
      <c r="K55" s="128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42"/>
      <c r="AM55" s="114"/>
      <c r="AN55" s="115"/>
    </row>
    <row r="56" spans="2:40" s="19" customFormat="1" ht="16.5" thickBot="1" x14ac:dyDescent="0.25">
      <c r="B56" s="142"/>
      <c r="C56" s="139"/>
      <c r="D56" s="139"/>
      <c r="E56" s="144"/>
      <c r="F56" s="139"/>
      <c r="G56" s="140"/>
      <c r="K56" s="130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2"/>
      <c r="AM56" s="135"/>
      <c r="AN56" s="136"/>
    </row>
  </sheetData>
  <mergeCells count="29">
    <mergeCell ref="G51:G52"/>
    <mergeCell ref="G53:G54"/>
    <mergeCell ref="G55:G56"/>
    <mergeCell ref="K42:AI42"/>
    <mergeCell ref="B51:B52"/>
    <mergeCell ref="B53:B54"/>
    <mergeCell ref="B55:B56"/>
    <mergeCell ref="E55:E56"/>
    <mergeCell ref="E53:E54"/>
    <mergeCell ref="E51:E52"/>
    <mergeCell ref="AM42:AN42"/>
    <mergeCell ref="B43:B44"/>
    <mergeCell ref="B45:B46"/>
    <mergeCell ref="B47:B48"/>
    <mergeCell ref="B49:B50"/>
    <mergeCell ref="E49:E50"/>
    <mergeCell ref="E47:E48"/>
    <mergeCell ref="E45:E46"/>
    <mergeCell ref="E43:E44"/>
    <mergeCell ref="G43:G44"/>
    <mergeCell ref="G45:G46"/>
    <mergeCell ref="G47:G48"/>
    <mergeCell ref="G49:G50"/>
    <mergeCell ref="T4:V4"/>
    <mergeCell ref="T5:V5"/>
    <mergeCell ref="T6:V6"/>
    <mergeCell ref="AM13:AN13"/>
    <mergeCell ref="E3:H3"/>
    <mergeCell ref="AM3:AN3"/>
  </mergeCells>
  <conditionalFormatting sqref="T32 G14:G40 M14:M20 S14:S23 Y14:Y23 AE14:AE24 AK14:AK36">
    <cfRule type="cellIs" dxfId="6" priority="7" operator="greaterThan">
      <formula>30</formula>
    </cfRule>
  </conditionalFormatting>
  <conditionalFormatting sqref="G14:G40">
    <cfRule type="cellIs" dxfId="5" priority="6" operator="lessThan">
      <formula>0</formula>
    </cfRule>
  </conditionalFormatting>
  <conditionalFormatting sqref="M14:M20">
    <cfRule type="cellIs" dxfId="4" priority="5" operator="lessThan">
      <formula>0</formula>
    </cfRule>
  </conditionalFormatting>
  <conditionalFormatting sqref="S14:S23">
    <cfRule type="cellIs" dxfId="3" priority="4" operator="lessThan">
      <formula>0</formula>
    </cfRule>
  </conditionalFormatting>
  <conditionalFormatting sqref="Y14:Y23">
    <cfRule type="cellIs" dxfId="2" priority="3" operator="lessThan">
      <formula>0</formula>
    </cfRule>
  </conditionalFormatting>
  <conditionalFormatting sqref="AE14:AE24">
    <cfRule type="cellIs" dxfId="1" priority="2" operator="lessThan">
      <formula>0</formula>
    </cfRule>
  </conditionalFormatting>
  <conditionalFormatting sqref="AK14:AK36">
    <cfRule type="cellIs" dxfId="0" priority="1" operator="lessThan">
      <formula>0</formula>
    </cfRule>
  </conditionalFormatting>
  <dataValidations disablePrompts="1" xWindow="221" yWindow="726" count="3">
    <dataValidation type="list" allowBlank="1" showInputMessage="1" showErrorMessage="1" promptTitle="Especie" prompt="Escoge una especie." sqref="H4">
      <formula1>Especies</formula1>
    </dataValidation>
    <dataValidation type="whole" showInputMessage="1" showErrorMessage="1" sqref="G14:G40 M14:M20 S14:S23 Y14:Y23 AK14:AK36 AE14:AE24">
      <formula1>0</formula1>
      <formula2>30</formula2>
    </dataValidation>
    <dataValidation type="whole" allowBlank="1" showInputMessage="1" showErrorMessage="1" errorTitle="Error." error="El bonificador debe estar entre 1 y 20." promptTitle="Bonificador arbitrario" prompt="Bonifica (o penaliza) como desees esta habilidad. Recuerda que el Total no puede exceder de 30." sqref="E14:E40 K14:K40 Q14:Q40 W14:W40 AC14:AC40 AI14:AI40">
      <formula1>-20</formula1>
      <formula2>20</formula2>
    </dataValidation>
  </dataValidations>
  <printOptions horizontalCentered="1"/>
  <pageMargins left="0.31496062992125984" right="0.31496062992125984" top="1.1417322834645669" bottom="0.35433070866141736" header="0.31496062992125984" footer="0.31496062992125984"/>
  <pageSetup paperSize="9" scale="53" orientation="landscape" horizontalDpi="120" verticalDpi="120" r:id="rId1"/>
  <headerFooter>
    <oddFooter>&amp;R&amp;"Berlin Sans FB,Cursiva"Generador PNJ para EXO-CD solidario LES2016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221" yWindow="726" count="3">
        <x14:dataValidation type="list" allowBlank="1" showInputMessage="1" showErrorMessage="1" promptTitle="Ocupación" prompt="Escoge una ocupación.">
          <x14:formula1>
            <xm:f>Ocupaciones!$B$1:$AA$1</xm:f>
          </x14:formula1>
          <xm:sqref>H5</xm:sqref>
        </x14:dataValidation>
        <x14:dataValidation type="list" allowBlank="1" showInputMessage="1" showErrorMessage="1" promptTitle="Cualificación" prompt="Escoge un nivel de cualificación.">
          <x14:formula1>
            <xm:f>'Factores planetarios'!$A$7:$A$10</xm:f>
          </x14:formula1>
          <xm:sqref>H6</xm:sqref>
        </x14:dataValidation>
        <x14:dataValidation type="list" allowBlank="1" showInputMessage="1" showErrorMessage="1">
          <x14:formula1>
            <xm:f>'Factores planetarios'!$B$1:$D$1</xm:f>
          </x14:formula1>
          <xm:sqref>T4:T6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showZeros="0" topLeftCell="AB1" workbookViewId="0">
      <selection activeCell="AI8" sqref="AI8"/>
    </sheetView>
  </sheetViews>
  <sheetFormatPr baseColWidth="10" defaultRowHeight="15" x14ac:dyDescent="0.25"/>
  <cols>
    <col min="5" max="5" width="11.85546875" bestFit="1" customWidth="1"/>
  </cols>
  <sheetData>
    <row r="1" spans="1:52" x14ac:dyDescent="0.25">
      <c r="A1" s="23" t="s">
        <v>242</v>
      </c>
      <c r="C1" s="23" t="s">
        <v>243</v>
      </c>
      <c r="E1" s="23" t="s">
        <v>244</v>
      </c>
      <c r="G1" s="23" t="s">
        <v>245</v>
      </c>
      <c r="I1" s="23" t="s">
        <v>246</v>
      </c>
      <c r="K1" s="23" t="s">
        <v>247</v>
      </c>
      <c r="M1" s="23" t="s">
        <v>248</v>
      </c>
      <c r="O1" s="23" t="s">
        <v>249</v>
      </c>
      <c r="Q1" s="23" t="s">
        <v>250</v>
      </c>
      <c r="S1" s="23" t="s">
        <v>251</v>
      </c>
      <c r="U1" s="23" t="s">
        <v>252</v>
      </c>
      <c r="W1" s="23" t="s">
        <v>253</v>
      </c>
      <c r="Y1" s="23" t="s">
        <v>254</v>
      </c>
      <c r="AA1" s="23" t="s">
        <v>255</v>
      </c>
      <c r="AC1" s="23" t="s">
        <v>256</v>
      </c>
      <c r="AE1" s="23" t="s">
        <v>257</v>
      </c>
      <c r="AG1" s="23" t="s">
        <v>258</v>
      </c>
      <c r="AI1" s="23" t="s">
        <v>259</v>
      </c>
      <c r="AK1" s="23" t="s">
        <v>260</v>
      </c>
      <c r="AM1" s="23" t="s">
        <v>261</v>
      </c>
      <c r="AO1" s="23" t="s">
        <v>90</v>
      </c>
      <c r="AQ1" s="23" t="s">
        <v>262</v>
      </c>
      <c r="AS1" s="23" t="s">
        <v>263</v>
      </c>
      <c r="AU1" s="23" t="s">
        <v>264</v>
      </c>
      <c r="AW1" s="23" t="s">
        <v>265</v>
      </c>
      <c r="AY1" s="23" t="s">
        <v>294</v>
      </c>
    </row>
    <row r="2" spans="1:52" x14ac:dyDescent="0.25">
      <c r="A2" t="s">
        <v>527</v>
      </c>
      <c r="B2">
        <v>246</v>
      </c>
      <c r="C2" t="s">
        <v>487</v>
      </c>
      <c r="D2">
        <v>307</v>
      </c>
      <c r="E2" t="s">
        <v>457</v>
      </c>
      <c r="F2">
        <v>312</v>
      </c>
      <c r="G2" t="s">
        <v>457</v>
      </c>
      <c r="H2">
        <v>312</v>
      </c>
      <c r="I2" t="s">
        <v>457</v>
      </c>
      <c r="J2">
        <v>312</v>
      </c>
      <c r="K2" t="s">
        <v>509</v>
      </c>
      <c r="L2">
        <v>312</v>
      </c>
      <c r="M2" t="s">
        <v>524</v>
      </c>
      <c r="N2">
        <v>322</v>
      </c>
      <c r="O2" t="s">
        <v>460</v>
      </c>
      <c r="P2">
        <v>312</v>
      </c>
      <c r="Q2" t="s">
        <v>509</v>
      </c>
      <c r="R2">
        <v>312</v>
      </c>
      <c r="S2" t="s">
        <v>448</v>
      </c>
      <c r="T2">
        <v>305</v>
      </c>
      <c r="U2" t="s">
        <v>460</v>
      </c>
      <c r="V2">
        <v>312</v>
      </c>
      <c r="W2" t="s">
        <v>457</v>
      </c>
      <c r="X2">
        <v>312</v>
      </c>
      <c r="Y2" t="s">
        <v>457</v>
      </c>
      <c r="Z2">
        <v>312</v>
      </c>
      <c r="AA2" t="s">
        <v>506</v>
      </c>
      <c r="AB2">
        <v>311</v>
      </c>
      <c r="AC2" t="s">
        <v>492</v>
      </c>
      <c r="AD2">
        <v>306</v>
      </c>
      <c r="AE2" t="s">
        <v>469</v>
      </c>
      <c r="AF2">
        <v>318</v>
      </c>
      <c r="AG2" t="s">
        <v>494</v>
      </c>
      <c r="AH2">
        <v>306</v>
      </c>
      <c r="AI2" t="s">
        <v>472</v>
      </c>
      <c r="AJ2">
        <v>315</v>
      </c>
      <c r="AK2" t="s">
        <v>460</v>
      </c>
      <c r="AL2">
        <v>312</v>
      </c>
      <c r="AM2" t="s">
        <v>502</v>
      </c>
      <c r="AN2">
        <v>308</v>
      </c>
      <c r="AO2" t="s">
        <v>460</v>
      </c>
      <c r="AP2">
        <v>312</v>
      </c>
      <c r="AQ2" t="s">
        <v>460</v>
      </c>
      <c r="AR2">
        <v>312</v>
      </c>
      <c r="AS2" t="s">
        <v>505</v>
      </c>
      <c r="AT2">
        <v>311</v>
      </c>
      <c r="AU2" t="s">
        <v>524</v>
      </c>
      <c r="AV2">
        <v>322</v>
      </c>
      <c r="AW2" t="s">
        <v>444</v>
      </c>
      <c r="AX2">
        <v>315</v>
      </c>
      <c r="AY2" t="s">
        <v>509</v>
      </c>
      <c r="AZ2">
        <v>312</v>
      </c>
    </row>
    <row r="3" spans="1:52" x14ac:dyDescent="0.25">
      <c r="A3" t="s">
        <v>451</v>
      </c>
      <c r="B3">
        <v>315</v>
      </c>
      <c r="C3" t="s">
        <v>489</v>
      </c>
      <c r="D3">
        <v>306</v>
      </c>
      <c r="E3" t="s">
        <v>490</v>
      </c>
      <c r="F3">
        <v>307</v>
      </c>
      <c r="G3" t="s">
        <v>442</v>
      </c>
      <c r="H3">
        <v>303</v>
      </c>
      <c r="I3" t="s">
        <v>451</v>
      </c>
      <c r="J3">
        <v>315</v>
      </c>
      <c r="K3" t="s">
        <v>453</v>
      </c>
      <c r="L3">
        <v>306</v>
      </c>
      <c r="M3" t="s">
        <v>438</v>
      </c>
      <c r="N3">
        <v>321</v>
      </c>
      <c r="O3" t="s">
        <v>454</v>
      </c>
      <c r="P3">
        <v>323</v>
      </c>
      <c r="Q3" t="s">
        <v>451</v>
      </c>
      <c r="R3">
        <v>315</v>
      </c>
      <c r="S3" t="s">
        <v>506</v>
      </c>
      <c r="T3">
        <v>311</v>
      </c>
      <c r="U3" t="s">
        <v>432</v>
      </c>
      <c r="V3">
        <v>323</v>
      </c>
      <c r="W3" t="s">
        <v>449</v>
      </c>
      <c r="X3">
        <v>313</v>
      </c>
      <c r="Y3" t="s">
        <v>521</v>
      </c>
      <c r="Z3">
        <v>320</v>
      </c>
      <c r="AA3" t="s">
        <v>499</v>
      </c>
      <c r="AB3">
        <v>307</v>
      </c>
      <c r="AC3" t="s">
        <v>487</v>
      </c>
      <c r="AD3">
        <v>307</v>
      </c>
      <c r="AE3" t="s">
        <v>511</v>
      </c>
      <c r="AF3">
        <v>312</v>
      </c>
      <c r="AG3" t="s">
        <v>490</v>
      </c>
      <c r="AH3">
        <v>307</v>
      </c>
      <c r="AI3" t="s">
        <v>499</v>
      </c>
      <c r="AJ3">
        <v>307</v>
      </c>
      <c r="AK3" t="s">
        <v>451</v>
      </c>
      <c r="AL3">
        <v>315</v>
      </c>
      <c r="AM3" t="s">
        <v>472</v>
      </c>
      <c r="AN3">
        <v>315</v>
      </c>
      <c r="AO3" t="s">
        <v>480</v>
      </c>
      <c r="AP3">
        <v>304</v>
      </c>
      <c r="AQ3" t="s">
        <v>445</v>
      </c>
      <c r="AR3">
        <v>303</v>
      </c>
      <c r="AS3" t="s">
        <v>487</v>
      </c>
      <c r="AT3">
        <v>307</v>
      </c>
      <c r="AU3" t="s">
        <v>500</v>
      </c>
      <c r="AV3">
        <v>305</v>
      </c>
      <c r="AW3" t="s">
        <v>472</v>
      </c>
      <c r="AX3">
        <v>315</v>
      </c>
      <c r="AY3" t="s">
        <v>481</v>
      </c>
      <c r="AZ3">
        <v>304</v>
      </c>
    </row>
    <row r="4" spans="1:52" x14ac:dyDescent="0.25">
      <c r="A4" t="s">
        <v>460</v>
      </c>
      <c r="B4">
        <v>312</v>
      </c>
      <c r="C4" t="s">
        <v>438</v>
      </c>
      <c r="D4">
        <v>321</v>
      </c>
      <c r="E4" t="s">
        <v>501</v>
      </c>
      <c r="F4">
        <v>305</v>
      </c>
      <c r="G4" t="s">
        <v>522</v>
      </c>
      <c r="H4">
        <v>320</v>
      </c>
      <c r="I4" t="s">
        <v>438</v>
      </c>
      <c r="J4">
        <v>321</v>
      </c>
      <c r="K4" t="s">
        <v>489</v>
      </c>
      <c r="L4">
        <v>306</v>
      </c>
      <c r="M4" t="s">
        <v>517</v>
      </c>
      <c r="N4">
        <v>317</v>
      </c>
      <c r="O4" t="s">
        <v>480</v>
      </c>
      <c r="P4">
        <v>304</v>
      </c>
      <c r="Q4" t="s">
        <v>456</v>
      </c>
      <c r="R4">
        <v>314</v>
      </c>
      <c r="S4" t="s">
        <v>531</v>
      </c>
      <c r="T4">
        <v>303</v>
      </c>
      <c r="U4" t="s">
        <v>449</v>
      </c>
      <c r="V4">
        <v>313</v>
      </c>
      <c r="W4" t="s">
        <v>461</v>
      </c>
      <c r="X4">
        <v>314</v>
      </c>
      <c r="Y4" t="s">
        <v>464</v>
      </c>
      <c r="Z4">
        <v>320</v>
      </c>
      <c r="AA4" t="s">
        <v>472</v>
      </c>
      <c r="AB4">
        <v>315</v>
      </c>
      <c r="AC4" t="s">
        <v>508</v>
      </c>
      <c r="AD4">
        <v>311</v>
      </c>
      <c r="AE4" t="s">
        <v>470</v>
      </c>
      <c r="AF4">
        <v>323</v>
      </c>
      <c r="AG4" t="s">
        <v>508</v>
      </c>
      <c r="AH4">
        <v>311</v>
      </c>
      <c r="AI4" t="s">
        <v>507</v>
      </c>
      <c r="AJ4">
        <v>311</v>
      </c>
      <c r="AK4" t="s">
        <v>480</v>
      </c>
      <c r="AL4">
        <v>304</v>
      </c>
      <c r="AM4" t="s">
        <v>504</v>
      </c>
      <c r="AN4">
        <v>311</v>
      </c>
      <c r="AO4" t="s">
        <v>481</v>
      </c>
      <c r="AP4">
        <v>304</v>
      </c>
      <c r="AQ4" t="s">
        <v>511</v>
      </c>
      <c r="AR4">
        <v>312</v>
      </c>
      <c r="AS4" t="s">
        <v>501</v>
      </c>
      <c r="AT4">
        <v>305</v>
      </c>
      <c r="AU4" t="s">
        <v>453</v>
      </c>
      <c r="AV4">
        <v>311</v>
      </c>
      <c r="AW4" t="s">
        <v>505</v>
      </c>
      <c r="AX4">
        <v>311</v>
      </c>
    </row>
    <row r="5" spans="1:52" x14ac:dyDescent="0.25">
      <c r="A5" t="s">
        <v>452</v>
      </c>
      <c r="B5">
        <v>317</v>
      </c>
      <c r="C5" t="s">
        <v>496</v>
      </c>
      <c r="D5">
        <v>308</v>
      </c>
      <c r="E5" t="s">
        <v>491</v>
      </c>
      <c r="F5">
        <v>306</v>
      </c>
      <c r="G5" t="s">
        <v>445</v>
      </c>
      <c r="H5">
        <v>303</v>
      </c>
      <c r="I5" t="s">
        <v>452</v>
      </c>
      <c r="J5">
        <v>317</v>
      </c>
      <c r="K5" t="s">
        <v>443</v>
      </c>
      <c r="L5">
        <v>316</v>
      </c>
      <c r="M5" t="s">
        <v>459</v>
      </c>
      <c r="N5">
        <v>325</v>
      </c>
      <c r="O5" t="s">
        <v>455</v>
      </c>
      <c r="P5">
        <v>323</v>
      </c>
      <c r="Q5" t="s">
        <v>525</v>
      </c>
      <c r="R5">
        <v>323</v>
      </c>
      <c r="S5" t="s">
        <v>532</v>
      </c>
      <c r="T5">
        <v>324</v>
      </c>
      <c r="U5" t="s">
        <v>450</v>
      </c>
      <c r="V5">
        <v>314</v>
      </c>
      <c r="Y5" t="s">
        <v>523</v>
      </c>
      <c r="Z5">
        <v>321</v>
      </c>
      <c r="AA5" t="s">
        <v>444</v>
      </c>
      <c r="AB5">
        <v>315</v>
      </c>
      <c r="AC5" t="s">
        <v>493</v>
      </c>
      <c r="AD5">
        <v>306</v>
      </c>
      <c r="AG5" t="s">
        <v>436</v>
      </c>
      <c r="AH5">
        <v>308</v>
      </c>
      <c r="AI5" t="s">
        <v>453</v>
      </c>
      <c r="AJ5">
        <v>306</v>
      </c>
      <c r="AK5" t="s">
        <v>481</v>
      </c>
      <c r="AL5">
        <v>304</v>
      </c>
      <c r="AM5" t="s">
        <v>444</v>
      </c>
      <c r="AN5">
        <v>315</v>
      </c>
      <c r="AO5" t="s">
        <v>469</v>
      </c>
      <c r="AP5">
        <v>318</v>
      </c>
      <c r="AQ5" t="s">
        <v>452</v>
      </c>
      <c r="AR5">
        <v>317</v>
      </c>
      <c r="AS5" t="s">
        <v>491</v>
      </c>
      <c r="AT5">
        <v>306</v>
      </c>
      <c r="AU5" t="s">
        <v>453</v>
      </c>
      <c r="AV5">
        <v>306</v>
      </c>
      <c r="AW5" t="s">
        <v>516</v>
      </c>
      <c r="AX5">
        <v>316</v>
      </c>
    </row>
    <row r="6" spans="1:52" x14ac:dyDescent="0.25">
      <c r="A6" t="s">
        <v>441</v>
      </c>
      <c r="B6">
        <v>317</v>
      </c>
      <c r="E6" t="s">
        <v>440</v>
      </c>
      <c r="F6">
        <v>315</v>
      </c>
      <c r="G6" t="s">
        <v>505</v>
      </c>
      <c r="H6">
        <v>311</v>
      </c>
      <c r="I6" t="s">
        <v>449</v>
      </c>
      <c r="J6">
        <v>313</v>
      </c>
      <c r="K6" t="s">
        <v>437</v>
      </c>
      <c r="L6">
        <v>322</v>
      </c>
      <c r="O6" t="s">
        <v>449</v>
      </c>
      <c r="P6">
        <v>313</v>
      </c>
      <c r="Q6" t="s">
        <v>469</v>
      </c>
      <c r="R6">
        <v>318</v>
      </c>
      <c r="S6" t="s">
        <v>511</v>
      </c>
      <c r="T6">
        <v>312</v>
      </c>
      <c r="U6" t="s">
        <v>514</v>
      </c>
      <c r="V6">
        <v>314</v>
      </c>
      <c r="Y6" t="s">
        <v>438</v>
      </c>
      <c r="Z6">
        <v>321</v>
      </c>
      <c r="AA6" t="s">
        <v>515</v>
      </c>
      <c r="AB6">
        <v>316</v>
      </c>
      <c r="AC6" t="s">
        <v>468</v>
      </c>
      <c r="AD6">
        <v>308</v>
      </c>
      <c r="AG6" t="s">
        <v>517</v>
      </c>
      <c r="AH6">
        <v>318</v>
      </c>
      <c r="AI6" t="s">
        <v>444</v>
      </c>
      <c r="AJ6">
        <v>315</v>
      </c>
      <c r="AK6" t="s">
        <v>469</v>
      </c>
      <c r="AL6">
        <v>318</v>
      </c>
      <c r="AM6" t="s">
        <v>531</v>
      </c>
      <c r="AN6">
        <v>303</v>
      </c>
      <c r="AO6" t="s">
        <v>449</v>
      </c>
      <c r="AP6">
        <v>313</v>
      </c>
      <c r="AQ6" t="s">
        <v>434</v>
      </c>
      <c r="AR6">
        <v>318</v>
      </c>
      <c r="AS6" t="s">
        <v>440</v>
      </c>
      <c r="AT6">
        <v>315</v>
      </c>
      <c r="AU6" t="s">
        <v>495</v>
      </c>
      <c r="AV6">
        <v>306</v>
      </c>
      <c r="AW6" t="s">
        <v>515</v>
      </c>
      <c r="AX6">
        <v>316</v>
      </c>
    </row>
    <row r="7" spans="1:52" x14ac:dyDescent="0.25">
      <c r="A7" t="s">
        <v>528</v>
      </c>
      <c r="B7">
        <v>303</v>
      </c>
      <c r="E7" t="s">
        <v>511</v>
      </c>
      <c r="F7">
        <v>312</v>
      </c>
      <c r="G7" t="s">
        <v>444</v>
      </c>
      <c r="H7">
        <v>315</v>
      </c>
      <c r="I7" t="s">
        <v>461</v>
      </c>
      <c r="J7">
        <v>314</v>
      </c>
      <c r="K7" t="s">
        <v>519</v>
      </c>
      <c r="L7">
        <v>318</v>
      </c>
      <c r="O7" t="s">
        <v>450</v>
      </c>
      <c r="P7">
        <v>314</v>
      </c>
      <c r="Q7" t="s">
        <v>514</v>
      </c>
      <c r="R7">
        <v>314</v>
      </c>
      <c r="S7" t="s">
        <v>524</v>
      </c>
      <c r="T7">
        <v>322</v>
      </c>
      <c r="U7" t="s">
        <v>433</v>
      </c>
      <c r="V7">
        <v>318</v>
      </c>
      <c r="Y7" t="s">
        <v>524</v>
      </c>
      <c r="Z7">
        <v>322</v>
      </c>
      <c r="AA7" t="s">
        <v>524</v>
      </c>
      <c r="AB7">
        <v>322</v>
      </c>
      <c r="AC7" t="s">
        <v>524</v>
      </c>
      <c r="AD7">
        <v>322</v>
      </c>
      <c r="AG7" t="s">
        <v>519</v>
      </c>
      <c r="AH7">
        <v>318</v>
      </c>
      <c r="AI7" t="s">
        <v>524</v>
      </c>
      <c r="AJ7">
        <v>322</v>
      </c>
      <c r="AK7" t="s">
        <v>449</v>
      </c>
      <c r="AL7">
        <v>313</v>
      </c>
      <c r="AM7" t="s">
        <v>443</v>
      </c>
      <c r="AN7">
        <v>316</v>
      </c>
      <c r="AO7" t="s">
        <v>512</v>
      </c>
      <c r="AP7">
        <v>314</v>
      </c>
      <c r="AQ7" t="s">
        <v>469</v>
      </c>
      <c r="AR7">
        <v>318</v>
      </c>
      <c r="AS7" t="s">
        <v>524</v>
      </c>
      <c r="AT7">
        <v>322</v>
      </c>
      <c r="AU7" t="s">
        <v>510</v>
      </c>
      <c r="AV7">
        <v>311</v>
      </c>
      <c r="AW7" t="s">
        <v>524</v>
      </c>
      <c r="AX7">
        <v>322</v>
      </c>
    </row>
    <row r="8" spans="1:52" x14ac:dyDescent="0.25">
      <c r="A8" t="s">
        <v>434</v>
      </c>
      <c r="B8">
        <v>318</v>
      </c>
      <c r="E8" t="s">
        <v>524</v>
      </c>
      <c r="F8">
        <v>322</v>
      </c>
      <c r="G8" t="s">
        <v>432</v>
      </c>
      <c r="H8">
        <v>323</v>
      </c>
      <c r="K8" t="s">
        <v>502</v>
      </c>
      <c r="L8">
        <v>308</v>
      </c>
      <c r="Q8" t="s">
        <v>433</v>
      </c>
      <c r="R8">
        <v>318</v>
      </c>
      <c r="S8" t="s">
        <v>498</v>
      </c>
      <c r="T8">
        <v>307</v>
      </c>
      <c r="U8" t="s">
        <v>461</v>
      </c>
      <c r="V8">
        <v>314</v>
      </c>
      <c r="Y8" t="s">
        <v>484</v>
      </c>
      <c r="Z8">
        <v>305</v>
      </c>
      <c r="AA8" t="s">
        <v>449</v>
      </c>
      <c r="AB8">
        <v>313</v>
      </c>
      <c r="AC8" t="s">
        <v>436</v>
      </c>
      <c r="AD8">
        <v>308</v>
      </c>
      <c r="AG8" t="s">
        <v>458</v>
      </c>
      <c r="AH8">
        <v>324</v>
      </c>
      <c r="AI8" t="s">
        <v>535</v>
      </c>
      <c r="AJ8">
        <v>306</v>
      </c>
      <c r="AK8" t="s">
        <v>512</v>
      </c>
      <c r="AL8">
        <v>314</v>
      </c>
      <c r="AM8" t="s">
        <v>524</v>
      </c>
      <c r="AN8">
        <v>322</v>
      </c>
      <c r="AO8" t="s">
        <v>461</v>
      </c>
      <c r="AP8">
        <v>314</v>
      </c>
      <c r="AQ8" t="s">
        <v>449</v>
      </c>
      <c r="AR8">
        <v>313</v>
      </c>
      <c r="AS8" t="s">
        <v>497</v>
      </c>
      <c r="AT8">
        <v>308</v>
      </c>
      <c r="AU8" t="s">
        <v>476</v>
      </c>
      <c r="AV8">
        <v>307</v>
      </c>
      <c r="AW8" t="s">
        <v>441</v>
      </c>
      <c r="AX8">
        <v>317</v>
      </c>
    </row>
    <row r="9" spans="1:52" x14ac:dyDescent="0.25">
      <c r="A9" t="s">
        <v>436</v>
      </c>
      <c r="B9">
        <v>308</v>
      </c>
      <c r="E9" t="s">
        <v>441</v>
      </c>
      <c r="F9">
        <v>317</v>
      </c>
      <c r="G9" t="s">
        <v>443</v>
      </c>
      <c r="H9">
        <v>316</v>
      </c>
      <c r="K9" t="s">
        <v>478</v>
      </c>
      <c r="L9">
        <v>305</v>
      </c>
      <c r="S9" t="s">
        <v>519</v>
      </c>
      <c r="T9">
        <v>318</v>
      </c>
      <c r="Y9" t="s">
        <v>485</v>
      </c>
      <c r="Z9">
        <v>305</v>
      </c>
      <c r="AA9" t="s">
        <v>435</v>
      </c>
      <c r="AB9">
        <v>307</v>
      </c>
      <c r="AC9" t="s">
        <v>458</v>
      </c>
      <c r="AD9">
        <v>324</v>
      </c>
      <c r="AG9" t="s">
        <v>502</v>
      </c>
      <c r="AH9">
        <v>308</v>
      </c>
      <c r="AI9" t="s">
        <v>450</v>
      </c>
      <c r="AJ9">
        <v>313</v>
      </c>
      <c r="AM9" t="s">
        <v>536</v>
      </c>
      <c r="AN9">
        <v>306</v>
      </c>
      <c r="AS9" t="s">
        <v>477</v>
      </c>
      <c r="AT9">
        <v>307</v>
      </c>
      <c r="AU9" t="s">
        <v>438</v>
      </c>
      <c r="AV9">
        <v>321</v>
      </c>
      <c r="AW9" t="s">
        <v>517</v>
      </c>
      <c r="AX9">
        <v>317</v>
      </c>
    </row>
    <row r="10" spans="1:52" x14ac:dyDescent="0.25">
      <c r="A10" t="s">
        <v>486</v>
      </c>
      <c r="B10">
        <v>307</v>
      </c>
      <c r="E10" t="s">
        <v>434</v>
      </c>
      <c r="F10">
        <v>318</v>
      </c>
      <c r="G10" t="s">
        <v>518</v>
      </c>
      <c r="H10">
        <v>317</v>
      </c>
      <c r="S10" t="s">
        <v>458</v>
      </c>
      <c r="T10">
        <v>324</v>
      </c>
      <c r="Y10" t="s">
        <v>465</v>
      </c>
      <c r="Z10">
        <v>322</v>
      </c>
      <c r="AA10" t="s">
        <v>446</v>
      </c>
      <c r="AB10">
        <v>304</v>
      </c>
      <c r="AC10" t="s">
        <v>502</v>
      </c>
      <c r="AD10">
        <v>308</v>
      </c>
      <c r="AG10" t="s">
        <v>459</v>
      </c>
      <c r="AH10">
        <v>325</v>
      </c>
      <c r="AI10" t="s">
        <v>502</v>
      </c>
      <c r="AJ10">
        <v>308</v>
      </c>
      <c r="AM10" t="s">
        <v>473</v>
      </c>
      <c r="AN10">
        <v>304</v>
      </c>
      <c r="AS10" t="s">
        <v>473</v>
      </c>
      <c r="AT10">
        <v>305</v>
      </c>
      <c r="AU10" t="s">
        <v>441</v>
      </c>
      <c r="AV10">
        <v>317</v>
      </c>
      <c r="AW10" t="s">
        <v>488</v>
      </c>
      <c r="AX10">
        <v>306</v>
      </c>
    </row>
    <row r="11" spans="1:52" x14ac:dyDescent="0.25">
      <c r="A11" t="s">
        <v>469</v>
      </c>
      <c r="B11">
        <v>318</v>
      </c>
      <c r="E11" t="s">
        <v>436</v>
      </c>
      <c r="F11">
        <v>308</v>
      </c>
      <c r="G11" t="s">
        <v>449</v>
      </c>
      <c r="H11">
        <v>313</v>
      </c>
      <c r="S11" t="s">
        <v>467</v>
      </c>
      <c r="T11">
        <v>324</v>
      </c>
      <c r="AC11" t="s">
        <v>533</v>
      </c>
      <c r="AD11">
        <v>324</v>
      </c>
      <c r="AG11" t="s">
        <v>471</v>
      </c>
      <c r="AH11">
        <v>305</v>
      </c>
      <c r="AI11" t="s">
        <v>520</v>
      </c>
      <c r="AJ11">
        <v>319</v>
      </c>
      <c r="AM11" t="s">
        <v>446</v>
      </c>
      <c r="AN11">
        <v>304</v>
      </c>
      <c r="AS11" t="s">
        <v>482</v>
      </c>
      <c r="AT11">
        <v>305</v>
      </c>
      <c r="AU11" t="s">
        <v>502</v>
      </c>
      <c r="AV11">
        <v>308</v>
      </c>
      <c r="AW11" t="s">
        <v>433</v>
      </c>
      <c r="AX11">
        <v>318</v>
      </c>
    </row>
    <row r="12" spans="1:52" x14ac:dyDescent="0.25">
      <c r="A12" t="s">
        <v>526</v>
      </c>
      <c r="B12">
        <v>306</v>
      </c>
      <c r="E12" t="s">
        <v>497</v>
      </c>
      <c r="F12">
        <v>308</v>
      </c>
      <c r="G12" t="s">
        <v>450</v>
      </c>
      <c r="H12">
        <v>314</v>
      </c>
      <c r="S12" t="s">
        <v>459</v>
      </c>
      <c r="T12">
        <v>325</v>
      </c>
      <c r="AC12" t="s">
        <v>459</v>
      </c>
      <c r="AD12">
        <v>324</v>
      </c>
      <c r="AG12" t="s">
        <v>529</v>
      </c>
      <c r="AH12">
        <v>305</v>
      </c>
      <c r="AI12" t="s">
        <v>466</v>
      </c>
      <c r="AJ12">
        <v>326</v>
      </c>
      <c r="AM12" t="s">
        <v>483</v>
      </c>
      <c r="AN12">
        <v>305</v>
      </c>
      <c r="AU12" t="s">
        <v>459</v>
      </c>
      <c r="AV12">
        <v>325</v>
      </c>
      <c r="AW12" t="s">
        <v>447</v>
      </c>
      <c r="AX12">
        <v>305</v>
      </c>
    </row>
    <row r="13" spans="1:52" x14ac:dyDescent="0.25">
      <c r="A13" t="s">
        <v>519</v>
      </c>
      <c r="B13">
        <v>318</v>
      </c>
      <c r="E13" t="s">
        <v>502</v>
      </c>
      <c r="F13">
        <v>308</v>
      </c>
      <c r="G13" t="s">
        <v>447</v>
      </c>
      <c r="H13">
        <v>305</v>
      </c>
      <c r="S13" t="s">
        <v>474</v>
      </c>
      <c r="T13">
        <v>304</v>
      </c>
      <c r="AC13" t="s">
        <v>474</v>
      </c>
      <c r="AD13">
        <v>304</v>
      </c>
      <c r="AG13" t="s">
        <v>530</v>
      </c>
      <c r="AH13">
        <v>305</v>
      </c>
      <c r="AM13" t="s">
        <v>474</v>
      </c>
      <c r="AN13">
        <v>304</v>
      </c>
      <c r="AU13" t="s">
        <v>471</v>
      </c>
      <c r="AV13">
        <v>305</v>
      </c>
      <c r="AW13" t="s">
        <v>483</v>
      </c>
      <c r="AX13">
        <v>305</v>
      </c>
    </row>
    <row r="14" spans="1:52" x14ac:dyDescent="0.25">
      <c r="A14" t="s">
        <v>502</v>
      </c>
      <c r="B14">
        <v>308</v>
      </c>
      <c r="E14" t="s">
        <v>433</v>
      </c>
      <c r="F14">
        <v>318</v>
      </c>
      <c r="G14" t="s">
        <v>446</v>
      </c>
      <c r="H14">
        <v>305</v>
      </c>
      <c r="S14" t="s">
        <v>520</v>
      </c>
      <c r="T14">
        <v>319</v>
      </c>
      <c r="AC14" t="s">
        <v>534</v>
      </c>
      <c r="AD14">
        <v>326</v>
      </c>
      <c r="AM14" t="s">
        <v>520</v>
      </c>
      <c r="AN14">
        <v>319</v>
      </c>
      <c r="AU14" t="s">
        <v>503</v>
      </c>
      <c r="AV14">
        <v>310</v>
      </c>
      <c r="AW14" t="s">
        <v>478</v>
      </c>
      <c r="AX14">
        <v>305</v>
      </c>
    </row>
    <row r="15" spans="1:52" x14ac:dyDescent="0.25">
      <c r="A15" t="s">
        <v>513</v>
      </c>
      <c r="B15">
        <v>314</v>
      </c>
      <c r="E15" t="s">
        <v>482</v>
      </c>
      <c r="F15">
        <v>305</v>
      </c>
      <c r="G15" t="s">
        <v>448</v>
      </c>
      <c r="H15">
        <v>305</v>
      </c>
      <c r="S15" t="s">
        <v>466</v>
      </c>
      <c r="T15">
        <v>326</v>
      </c>
      <c r="AC15" t="s">
        <v>465</v>
      </c>
      <c r="AD15">
        <v>322</v>
      </c>
      <c r="AM15" t="s">
        <v>475</v>
      </c>
      <c r="AN15">
        <v>326</v>
      </c>
      <c r="AU15" t="s">
        <v>439</v>
      </c>
      <c r="AV15">
        <v>308</v>
      </c>
      <c r="AW15" t="s">
        <v>520</v>
      </c>
      <c r="AX15">
        <v>319</v>
      </c>
    </row>
    <row r="16" spans="1:52" x14ac:dyDescent="0.25">
      <c r="A16" t="s">
        <v>433</v>
      </c>
      <c r="B16">
        <v>318</v>
      </c>
      <c r="E16" t="s">
        <v>529</v>
      </c>
      <c r="F16">
        <v>305</v>
      </c>
      <c r="S16" t="s">
        <v>529</v>
      </c>
      <c r="T16">
        <v>305</v>
      </c>
      <c r="AC16" t="s">
        <v>529</v>
      </c>
      <c r="AD16">
        <v>305</v>
      </c>
      <c r="AM16" t="s">
        <v>439</v>
      </c>
      <c r="AN16">
        <v>308</v>
      </c>
      <c r="AU16" t="s">
        <v>530</v>
      </c>
      <c r="AV16">
        <v>305</v>
      </c>
    </row>
    <row r="17" spans="1:1638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24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24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24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24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24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24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24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24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24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24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24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24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24"/>
      <c r="XEK17" s="24"/>
      <c r="XEL17" s="24"/>
      <c r="XEM17" s="24"/>
      <c r="XEN17" s="24"/>
      <c r="XEO17" s="24"/>
      <c r="XEP17" s="24"/>
      <c r="XEQ17" s="24"/>
      <c r="XER17" s="24"/>
      <c r="XES17" s="24"/>
      <c r="XET17" s="24"/>
      <c r="XEU17" s="24"/>
      <c r="XEV17" s="24"/>
      <c r="XEW17" s="24"/>
      <c r="XEX17" s="24"/>
      <c r="XEY17" s="24"/>
      <c r="XEZ17" s="24"/>
      <c r="XFA17" s="24"/>
      <c r="XFB17" s="24"/>
      <c r="XFC17" s="24"/>
      <c r="XFD17" s="24"/>
    </row>
    <row r="18" spans="1:16384" s="24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37" spans="25:25" x14ac:dyDescent="0.25">
      <c r="Y37" t="s">
        <v>462</v>
      </c>
    </row>
    <row r="39" spans="25:25" x14ac:dyDescent="0.25">
      <c r="Y39" t="s">
        <v>463</v>
      </c>
    </row>
  </sheetData>
  <sortState ref="K3:L16">
    <sortCondition ref="K2"/>
  </sortState>
  <pageMargins left="0.7" right="0.7" top="0.75" bottom="0.75" header="0.3" footer="0.3"/>
  <pageSetup paperSize="9" orientation="portrait" horizontalDpi="120" verticalDpi="1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selection activeCell="N4" sqref="N4"/>
    </sheetView>
  </sheetViews>
  <sheetFormatPr baseColWidth="10" defaultRowHeight="15" x14ac:dyDescent="0.25"/>
  <cols>
    <col min="1" max="2" width="11.85546875" bestFit="1" customWidth="1"/>
  </cols>
  <sheetData>
    <row r="1" spans="1:14" x14ac:dyDescent="0.25">
      <c r="A1" s="22">
        <f ca="1">+RANDBETWEEN(0,3)</f>
        <v>0</v>
      </c>
      <c r="B1" s="22">
        <f t="shared" ref="B1:C1" ca="1" si="0">+RANDBETWEEN(0,3)</f>
        <v>2</v>
      </c>
      <c r="C1" s="22">
        <f t="shared" ca="1" si="0"/>
        <v>3</v>
      </c>
      <c r="D1" s="22"/>
      <c r="G1">
        <v>1</v>
      </c>
      <c r="H1" s="20" t="s">
        <v>236</v>
      </c>
      <c r="I1" s="21" t="s">
        <v>429</v>
      </c>
      <c r="J1" s="21">
        <f ca="1">+RANDBETWEEN(1,2)</f>
        <v>1</v>
      </c>
      <c r="K1" s="21">
        <f ca="1">+RANDBETWEEN(1,34)</f>
        <v>2</v>
      </c>
      <c r="L1" s="21">
        <f ca="1">+IF(Base!AN14="N",0,IF(Base!AN14="P",5,IF(Base!AN14="M",10,-K1+1)))</f>
        <v>-1</v>
      </c>
      <c r="M1" s="21">
        <f ca="1">+SUM(K1,L1)</f>
        <v>1</v>
      </c>
      <c r="N1" s="21" t="str">
        <f ca="1">+IF(J1=1,VLOOKUP(M1,$A$7:$D$51,4,FALSE),VLOOKUP(M1,$A$7:$D$51,3,FALSE))</f>
        <v>Nada especial</v>
      </c>
    </row>
    <row r="2" spans="1:14" x14ac:dyDescent="0.25">
      <c r="A2" s="22">
        <f ca="1">+RANDBETWEEN(1,100)</f>
        <v>79</v>
      </c>
      <c r="B2" s="22">
        <f ca="1">+RANDBETWEEN(1,9)</f>
        <v>7</v>
      </c>
      <c r="C2" s="22">
        <f t="shared" ref="C2:D2" ca="1" si="1">+RANDBETWEEN(1,9)</f>
        <v>5</v>
      </c>
      <c r="D2" s="22">
        <f t="shared" ca="1" si="1"/>
        <v>4</v>
      </c>
      <c r="G2">
        <v>2</v>
      </c>
      <c r="H2" s="20" t="s">
        <v>236</v>
      </c>
      <c r="J2" s="21">
        <f t="shared" ref="J2:J3" ca="1" si="2">+RANDBETWEEN(1,2)</f>
        <v>2</v>
      </c>
      <c r="K2" s="21">
        <f t="shared" ref="K2:K3" ca="1" si="3">+RANDBETWEEN(1,34)</f>
        <v>22</v>
      </c>
      <c r="L2" s="21">
        <f ca="1">+IF(Base!AN15="N",0,IF(Base!AN15="P",5,IF(Base!AN15="M",10,-K2+1)))</f>
        <v>0</v>
      </c>
      <c r="M2" s="21">
        <f t="shared" ref="M2:M3" ca="1" si="4">+SUM(K2,L2)</f>
        <v>22</v>
      </c>
      <c r="N2" s="21" t="str">
        <f ca="1">+IF(J2=1,VLOOKUP(M2,$A$7:$D$51,4,FALSE),VLOOKUP(M2,$A$7:$D$51,3,FALSE))</f>
        <v>Distraido</v>
      </c>
    </row>
    <row r="3" spans="1:14" x14ac:dyDescent="0.25">
      <c r="A3" s="22"/>
      <c r="B3" s="22" t="str">
        <f ca="1">+VLOOKUP(B2,$G$1:$H$10,2,FALSE)</f>
        <v>P</v>
      </c>
      <c r="C3" s="22" t="str">
        <f t="shared" ref="C3:D3" ca="1" si="5">+VLOOKUP(C2,$G$1:$H$10,2,FALSE)</f>
        <v>N</v>
      </c>
      <c r="D3" s="22" t="str">
        <f t="shared" ca="1" si="5"/>
        <v>N</v>
      </c>
      <c r="G3">
        <v>3</v>
      </c>
      <c r="H3" s="20" t="s">
        <v>236</v>
      </c>
      <c r="J3" s="21">
        <f t="shared" ca="1" si="2"/>
        <v>1</v>
      </c>
      <c r="K3" s="21">
        <f t="shared" ca="1" si="3"/>
        <v>14</v>
      </c>
      <c r="L3" s="21">
        <f ca="1">+IF(Base!AN16="N",0,IF(Base!AN16="P",5,IF(Base!AN16="M",10,-K3+1)))</f>
        <v>-13</v>
      </c>
      <c r="M3" s="21">
        <f t="shared" ca="1" si="4"/>
        <v>1</v>
      </c>
      <c r="N3" s="21" t="str">
        <f ca="1">+IF(J3=1,VLOOKUP(M3,$A$7:$D$51,4,FALSE),VLOOKUP(M3,$A$7:$D$51,3,FALSE))</f>
        <v>Nada especial</v>
      </c>
    </row>
    <row r="4" spans="1:14" x14ac:dyDescent="0.25">
      <c r="G4">
        <v>3</v>
      </c>
      <c r="H4" s="20" t="s">
        <v>236</v>
      </c>
    </row>
    <row r="5" spans="1:14" x14ac:dyDescent="0.25">
      <c r="G5">
        <v>4</v>
      </c>
      <c r="H5" s="20" t="s">
        <v>236</v>
      </c>
    </row>
    <row r="6" spans="1:14" x14ac:dyDescent="0.25">
      <c r="B6" t="s">
        <v>300</v>
      </c>
      <c r="C6" s="8" t="s">
        <v>362</v>
      </c>
      <c r="D6" s="8"/>
      <c r="E6" s="8"/>
      <c r="G6">
        <v>5</v>
      </c>
      <c r="H6" s="20" t="s">
        <v>236</v>
      </c>
    </row>
    <row r="7" spans="1:14" x14ac:dyDescent="0.25">
      <c r="A7">
        <v>1</v>
      </c>
      <c r="B7" t="s">
        <v>301</v>
      </c>
      <c r="C7" t="s">
        <v>361</v>
      </c>
      <c r="D7" s="8" t="s">
        <v>361</v>
      </c>
      <c r="E7" s="8"/>
      <c r="G7">
        <v>6</v>
      </c>
      <c r="H7" s="20" t="s">
        <v>237</v>
      </c>
    </row>
    <row r="8" spans="1:14" x14ac:dyDescent="0.25">
      <c r="A8">
        <v>2</v>
      </c>
      <c r="B8" t="s">
        <v>299</v>
      </c>
      <c r="C8" s="8" t="s">
        <v>363</v>
      </c>
      <c r="D8" s="8" t="s">
        <v>396</v>
      </c>
      <c r="E8" s="8"/>
      <c r="G8">
        <v>7</v>
      </c>
      <c r="H8" s="20" t="s">
        <v>237</v>
      </c>
    </row>
    <row r="9" spans="1:14" x14ac:dyDescent="0.25">
      <c r="A9">
        <v>3</v>
      </c>
      <c r="B9" t="s">
        <v>302</v>
      </c>
      <c r="C9" s="8" t="s">
        <v>364</v>
      </c>
      <c r="D9" s="8" t="s">
        <v>397</v>
      </c>
      <c r="E9" s="8"/>
      <c r="G9">
        <v>8</v>
      </c>
      <c r="H9" s="20" t="s">
        <v>237</v>
      </c>
    </row>
    <row r="10" spans="1:14" x14ac:dyDescent="0.25">
      <c r="A10">
        <v>4</v>
      </c>
      <c r="B10" t="s">
        <v>303</v>
      </c>
      <c r="C10" s="8" t="s">
        <v>365</v>
      </c>
      <c r="D10" s="8" t="s">
        <v>398</v>
      </c>
      <c r="E10" s="8"/>
      <c r="G10">
        <v>9</v>
      </c>
      <c r="H10" s="20" t="s">
        <v>235</v>
      </c>
    </row>
    <row r="11" spans="1:14" x14ac:dyDescent="0.25">
      <c r="A11">
        <v>5</v>
      </c>
      <c r="B11" t="s">
        <v>304</v>
      </c>
      <c r="C11" s="8" t="s">
        <v>366</v>
      </c>
      <c r="D11" s="8" t="s">
        <v>399</v>
      </c>
      <c r="E11" s="8"/>
      <c r="H11" s="20"/>
    </row>
    <row r="12" spans="1:14" x14ac:dyDescent="0.25">
      <c r="A12">
        <v>6</v>
      </c>
      <c r="B12" t="s">
        <v>305</v>
      </c>
      <c r="C12" s="8" t="s">
        <v>367</v>
      </c>
      <c r="D12" s="8" t="s">
        <v>400</v>
      </c>
      <c r="E12" s="8"/>
      <c r="H12" s="20"/>
    </row>
    <row r="13" spans="1:14" x14ac:dyDescent="0.25">
      <c r="A13">
        <v>7</v>
      </c>
      <c r="B13" t="s">
        <v>306</v>
      </c>
      <c r="C13" s="8" t="s">
        <v>368</v>
      </c>
      <c r="D13" s="8" t="s">
        <v>401</v>
      </c>
      <c r="E13" s="8"/>
    </row>
    <row r="14" spans="1:14" x14ac:dyDescent="0.25">
      <c r="A14">
        <v>8</v>
      </c>
      <c r="B14" t="s">
        <v>307</v>
      </c>
      <c r="C14" s="8" t="s">
        <v>369</v>
      </c>
      <c r="D14" s="8" t="s">
        <v>402</v>
      </c>
      <c r="E14" s="8"/>
    </row>
    <row r="15" spans="1:14" x14ac:dyDescent="0.25">
      <c r="A15">
        <v>9</v>
      </c>
      <c r="B15" t="s">
        <v>308</v>
      </c>
      <c r="C15" s="8" t="s">
        <v>370</v>
      </c>
      <c r="D15" s="8" t="s">
        <v>403</v>
      </c>
      <c r="E15" s="8"/>
    </row>
    <row r="16" spans="1:14" x14ac:dyDescent="0.25">
      <c r="A16">
        <v>10</v>
      </c>
      <c r="B16" t="s">
        <v>309</v>
      </c>
      <c r="C16" s="8" t="s">
        <v>371</v>
      </c>
      <c r="D16" s="8" t="s">
        <v>404</v>
      </c>
      <c r="E16" s="8"/>
    </row>
    <row r="17" spans="1:5" x14ac:dyDescent="0.25">
      <c r="A17">
        <v>11</v>
      </c>
      <c r="B17" t="s">
        <v>310</v>
      </c>
      <c r="C17" s="8" t="s">
        <v>372</v>
      </c>
      <c r="D17" s="8" t="s">
        <v>405</v>
      </c>
      <c r="E17" s="8"/>
    </row>
    <row r="18" spans="1:5" x14ac:dyDescent="0.25">
      <c r="A18">
        <v>12</v>
      </c>
      <c r="B18" t="s">
        <v>311</v>
      </c>
      <c r="C18" s="8" t="s">
        <v>373</v>
      </c>
      <c r="D18" s="8" t="s">
        <v>406</v>
      </c>
      <c r="E18" s="8"/>
    </row>
    <row r="19" spans="1:5" x14ac:dyDescent="0.25">
      <c r="A19">
        <v>13</v>
      </c>
      <c r="B19" t="s">
        <v>312</v>
      </c>
      <c r="C19" s="8" t="s">
        <v>374</v>
      </c>
      <c r="D19" s="8" t="s">
        <v>407</v>
      </c>
      <c r="E19" s="8"/>
    </row>
    <row r="20" spans="1:5" x14ac:dyDescent="0.25">
      <c r="A20">
        <v>14</v>
      </c>
      <c r="B20" t="s">
        <v>313</v>
      </c>
      <c r="C20" s="8" t="s">
        <v>375</v>
      </c>
      <c r="D20" s="8" t="s">
        <v>408</v>
      </c>
      <c r="E20" s="8"/>
    </row>
    <row r="21" spans="1:5" x14ac:dyDescent="0.25">
      <c r="A21">
        <v>15</v>
      </c>
      <c r="B21" t="s">
        <v>314</v>
      </c>
      <c r="C21" s="8" t="s">
        <v>376</v>
      </c>
      <c r="D21" s="8" t="s">
        <v>409</v>
      </c>
      <c r="E21" s="8"/>
    </row>
    <row r="22" spans="1:5" x14ac:dyDescent="0.25">
      <c r="A22">
        <v>16</v>
      </c>
      <c r="B22" t="s">
        <v>315</v>
      </c>
      <c r="C22" s="8" t="s">
        <v>377</v>
      </c>
      <c r="D22" s="8" t="s">
        <v>410</v>
      </c>
      <c r="E22" s="8"/>
    </row>
    <row r="23" spans="1:5" x14ac:dyDescent="0.25">
      <c r="A23">
        <v>17</v>
      </c>
      <c r="B23" t="s">
        <v>248</v>
      </c>
      <c r="C23" s="8" t="s">
        <v>378</v>
      </c>
      <c r="D23" s="8" t="s">
        <v>411</v>
      </c>
      <c r="E23" s="8"/>
    </row>
    <row r="24" spans="1:5" x14ac:dyDescent="0.25">
      <c r="A24">
        <v>18</v>
      </c>
      <c r="B24" t="s">
        <v>316</v>
      </c>
      <c r="C24" s="8" t="s">
        <v>379</v>
      </c>
      <c r="D24" s="8" t="s">
        <v>412</v>
      </c>
      <c r="E24" s="8"/>
    </row>
    <row r="25" spans="1:5" x14ac:dyDescent="0.25">
      <c r="A25">
        <v>19</v>
      </c>
      <c r="B25" t="s">
        <v>317</v>
      </c>
      <c r="C25" s="8" t="s">
        <v>380</v>
      </c>
      <c r="D25" s="8" t="s">
        <v>413</v>
      </c>
      <c r="E25" s="8"/>
    </row>
    <row r="26" spans="1:5" x14ac:dyDescent="0.25">
      <c r="A26">
        <v>20</v>
      </c>
      <c r="B26" t="s">
        <v>318</v>
      </c>
      <c r="C26" s="8" t="s">
        <v>381</v>
      </c>
      <c r="D26" s="8" t="s">
        <v>414</v>
      </c>
      <c r="E26" s="8"/>
    </row>
    <row r="27" spans="1:5" x14ac:dyDescent="0.25">
      <c r="A27">
        <v>21</v>
      </c>
      <c r="B27" t="s">
        <v>319</v>
      </c>
      <c r="C27" s="8" t="s">
        <v>382</v>
      </c>
      <c r="D27" s="8" t="s">
        <v>415</v>
      </c>
      <c r="E27" s="8"/>
    </row>
    <row r="28" spans="1:5" x14ac:dyDescent="0.25">
      <c r="A28">
        <v>22</v>
      </c>
      <c r="B28" t="s">
        <v>320</v>
      </c>
      <c r="C28" s="8" t="s">
        <v>383</v>
      </c>
      <c r="D28" s="8" t="s">
        <v>416</v>
      </c>
      <c r="E28" s="8"/>
    </row>
    <row r="29" spans="1:5" x14ac:dyDescent="0.25">
      <c r="A29">
        <v>23</v>
      </c>
      <c r="B29" t="s">
        <v>321</v>
      </c>
      <c r="C29" s="8" t="s">
        <v>384</v>
      </c>
      <c r="D29" s="8" t="s">
        <v>417</v>
      </c>
      <c r="E29" s="8"/>
    </row>
    <row r="30" spans="1:5" x14ac:dyDescent="0.25">
      <c r="A30">
        <v>24</v>
      </c>
      <c r="B30" t="s">
        <v>322</v>
      </c>
      <c r="C30" s="8" t="s">
        <v>385</v>
      </c>
      <c r="D30" s="8" t="s">
        <v>418</v>
      </c>
      <c r="E30" s="8"/>
    </row>
    <row r="31" spans="1:5" x14ac:dyDescent="0.25">
      <c r="A31">
        <v>25</v>
      </c>
      <c r="B31" t="s">
        <v>323</v>
      </c>
      <c r="C31" s="8" t="s">
        <v>386</v>
      </c>
      <c r="D31" s="8" t="s">
        <v>419</v>
      </c>
      <c r="E31" s="8"/>
    </row>
    <row r="32" spans="1:5" x14ac:dyDescent="0.25">
      <c r="A32">
        <v>26</v>
      </c>
      <c r="B32" t="s">
        <v>324</v>
      </c>
      <c r="C32" s="8" t="s">
        <v>387</v>
      </c>
      <c r="D32" s="8" t="s">
        <v>420</v>
      </c>
      <c r="E32" s="8"/>
    </row>
    <row r="33" spans="1:5" x14ac:dyDescent="0.25">
      <c r="A33">
        <v>27</v>
      </c>
      <c r="B33" t="s">
        <v>325</v>
      </c>
      <c r="C33" s="8" t="s">
        <v>388</v>
      </c>
      <c r="D33" s="8" t="s">
        <v>421</v>
      </c>
      <c r="E33" s="8"/>
    </row>
    <row r="34" spans="1:5" x14ac:dyDescent="0.25">
      <c r="A34">
        <v>28</v>
      </c>
      <c r="B34" t="s">
        <v>326</v>
      </c>
      <c r="C34" s="8" t="s">
        <v>389</v>
      </c>
      <c r="D34" s="8" t="s">
        <v>422</v>
      </c>
      <c r="E34" s="8"/>
    </row>
    <row r="35" spans="1:5" x14ac:dyDescent="0.25">
      <c r="A35">
        <v>29</v>
      </c>
      <c r="B35" t="s">
        <v>327</v>
      </c>
      <c r="C35" s="8" t="s">
        <v>390</v>
      </c>
      <c r="D35" s="8" t="s">
        <v>423</v>
      </c>
      <c r="E35" s="8"/>
    </row>
    <row r="36" spans="1:5" x14ac:dyDescent="0.25">
      <c r="A36">
        <v>30</v>
      </c>
      <c r="B36" t="s">
        <v>328</v>
      </c>
      <c r="C36" s="8" t="s">
        <v>391</v>
      </c>
      <c r="D36" s="8" t="s">
        <v>424</v>
      </c>
      <c r="E36" s="8"/>
    </row>
    <row r="37" spans="1:5" x14ac:dyDescent="0.25">
      <c r="A37">
        <v>31</v>
      </c>
      <c r="B37" t="s">
        <v>329</v>
      </c>
      <c r="C37" s="8" t="s">
        <v>392</v>
      </c>
      <c r="D37" s="8" t="s">
        <v>425</v>
      </c>
      <c r="E37" s="8"/>
    </row>
    <row r="38" spans="1:5" x14ac:dyDescent="0.25">
      <c r="A38">
        <v>32</v>
      </c>
      <c r="B38" t="s">
        <v>330</v>
      </c>
      <c r="C38" s="8" t="s">
        <v>393</v>
      </c>
      <c r="D38" s="8" t="s">
        <v>426</v>
      </c>
      <c r="E38" s="8"/>
    </row>
    <row r="39" spans="1:5" x14ac:dyDescent="0.25">
      <c r="A39">
        <v>33</v>
      </c>
      <c r="B39" t="s">
        <v>331</v>
      </c>
      <c r="C39" s="8" t="s">
        <v>394</v>
      </c>
      <c r="D39" s="8" t="s">
        <v>427</v>
      </c>
      <c r="E39" s="8"/>
    </row>
    <row r="40" spans="1:5" x14ac:dyDescent="0.25">
      <c r="A40">
        <v>34</v>
      </c>
      <c r="B40" t="s">
        <v>332</v>
      </c>
      <c r="C40" s="8" t="s">
        <v>395</v>
      </c>
      <c r="D40" s="8" t="s">
        <v>428</v>
      </c>
      <c r="E40" s="8"/>
    </row>
    <row r="41" spans="1:5" x14ac:dyDescent="0.25">
      <c r="A41">
        <v>35</v>
      </c>
      <c r="B41" t="s">
        <v>333</v>
      </c>
      <c r="C41" s="8" t="s">
        <v>395</v>
      </c>
      <c r="D41" s="8" t="s">
        <v>428</v>
      </c>
      <c r="E41" s="8"/>
    </row>
    <row r="42" spans="1:5" x14ac:dyDescent="0.25">
      <c r="A42">
        <v>36</v>
      </c>
      <c r="B42" t="s">
        <v>334</v>
      </c>
      <c r="C42" s="8" t="s">
        <v>395</v>
      </c>
      <c r="D42" s="8" t="s">
        <v>428</v>
      </c>
      <c r="E42" s="8"/>
    </row>
    <row r="43" spans="1:5" x14ac:dyDescent="0.25">
      <c r="A43">
        <v>37</v>
      </c>
      <c r="B43" t="s">
        <v>335</v>
      </c>
      <c r="C43" s="8" t="s">
        <v>395</v>
      </c>
      <c r="D43" s="8" t="s">
        <v>428</v>
      </c>
      <c r="E43" s="8"/>
    </row>
    <row r="44" spans="1:5" x14ac:dyDescent="0.25">
      <c r="A44">
        <v>38</v>
      </c>
      <c r="B44" t="s">
        <v>336</v>
      </c>
      <c r="C44" s="8" t="s">
        <v>395</v>
      </c>
      <c r="D44" s="8" t="s">
        <v>428</v>
      </c>
      <c r="E44" s="8"/>
    </row>
    <row r="45" spans="1:5" x14ac:dyDescent="0.25">
      <c r="A45">
        <v>39</v>
      </c>
      <c r="B45" t="s">
        <v>337</v>
      </c>
      <c r="C45" s="8" t="s">
        <v>395</v>
      </c>
      <c r="D45" s="8" t="s">
        <v>428</v>
      </c>
      <c r="E45" s="8"/>
    </row>
    <row r="46" spans="1:5" x14ac:dyDescent="0.25">
      <c r="A46">
        <v>40</v>
      </c>
      <c r="B46" t="s">
        <v>338</v>
      </c>
      <c r="C46" s="8" t="s">
        <v>395</v>
      </c>
      <c r="D46" s="8" t="s">
        <v>428</v>
      </c>
      <c r="E46" s="8"/>
    </row>
    <row r="47" spans="1:5" x14ac:dyDescent="0.25">
      <c r="A47">
        <v>41</v>
      </c>
      <c r="B47" t="s">
        <v>339</v>
      </c>
      <c r="C47" s="8" t="s">
        <v>395</v>
      </c>
      <c r="D47" s="8" t="s">
        <v>428</v>
      </c>
      <c r="E47" s="8"/>
    </row>
    <row r="48" spans="1:5" x14ac:dyDescent="0.25">
      <c r="A48">
        <v>42</v>
      </c>
      <c r="B48" t="s">
        <v>340</v>
      </c>
      <c r="C48" s="8" t="s">
        <v>395</v>
      </c>
      <c r="D48" s="8" t="s">
        <v>428</v>
      </c>
      <c r="E48" s="8"/>
    </row>
    <row r="49" spans="1:5" x14ac:dyDescent="0.25">
      <c r="A49">
        <v>43</v>
      </c>
      <c r="B49" t="s">
        <v>341</v>
      </c>
      <c r="C49" s="8" t="s">
        <v>395</v>
      </c>
      <c r="D49" s="8" t="s">
        <v>428</v>
      </c>
      <c r="E49" s="8"/>
    </row>
    <row r="50" spans="1:5" x14ac:dyDescent="0.25">
      <c r="A50">
        <v>44</v>
      </c>
      <c r="B50" t="s">
        <v>342</v>
      </c>
      <c r="C50" s="8" t="s">
        <v>395</v>
      </c>
      <c r="D50" s="8" t="s">
        <v>428</v>
      </c>
      <c r="E50" s="8"/>
    </row>
    <row r="51" spans="1:5" x14ac:dyDescent="0.25">
      <c r="A51">
        <v>45</v>
      </c>
      <c r="B51" t="s">
        <v>343</v>
      </c>
      <c r="C51" s="8" t="s">
        <v>395</v>
      </c>
      <c r="D51" s="8" t="s">
        <v>428</v>
      </c>
      <c r="E51" s="8"/>
    </row>
    <row r="52" spans="1:5" x14ac:dyDescent="0.25">
      <c r="A52">
        <v>46</v>
      </c>
      <c r="B52" t="s">
        <v>344</v>
      </c>
      <c r="C52" s="8"/>
      <c r="D52" s="8"/>
      <c r="E52" s="8"/>
    </row>
    <row r="53" spans="1:5" x14ac:dyDescent="0.25">
      <c r="A53">
        <v>47</v>
      </c>
      <c r="B53" t="s">
        <v>345</v>
      </c>
      <c r="C53" s="8"/>
      <c r="D53" s="8"/>
      <c r="E53" s="8"/>
    </row>
    <row r="54" spans="1:5" x14ac:dyDescent="0.25">
      <c r="A54">
        <v>48</v>
      </c>
      <c r="B54" t="s">
        <v>346</v>
      </c>
      <c r="C54" s="8"/>
      <c r="D54" s="8"/>
      <c r="E54" s="8"/>
    </row>
    <row r="55" spans="1:5" x14ac:dyDescent="0.25">
      <c r="A55">
        <v>49</v>
      </c>
      <c r="B55" t="s">
        <v>347</v>
      </c>
      <c r="C55" s="8"/>
      <c r="D55" s="8"/>
      <c r="E55" s="8"/>
    </row>
    <row r="56" spans="1:5" x14ac:dyDescent="0.25">
      <c r="A56">
        <v>50</v>
      </c>
      <c r="B56" t="s">
        <v>348</v>
      </c>
      <c r="C56" s="8"/>
      <c r="D56" s="8"/>
      <c r="E56" s="8"/>
    </row>
    <row r="57" spans="1:5" x14ac:dyDescent="0.25">
      <c r="A57">
        <v>51</v>
      </c>
      <c r="B57" t="s">
        <v>349</v>
      </c>
      <c r="C57" s="8"/>
      <c r="D57" s="8"/>
      <c r="E57" s="8"/>
    </row>
    <row r="58" spans="1:5" x14ac:dyDescent="0.25">
      <c r="A58">
        <v>52</v>
      </c>
      <c r="B58" t="s">
        <v>350</v>
      </c>
      <c r="C58" s="8"/>
      <c r="D58" s="8"/>
      <c r="E58" s="8"/>
    </row>
    <row r="59" spans="1:5" x14ac:dyDescent="0.25">
      <c r="A59">
        <v>53</v>
      </c>
      <c r="B59" t="s">
        <v>351</v>
      </c>
      <c r="C59" s="8"/>
      <c r="D59" s="8"/>
      <c r="E59" s="8"/>
    </row>
    <row r="60" spans="1:5" x14ac:dyDescent="0.25">
      <c r="A60">
        <v>54</v>
      </c>
      <c r="B60" t="s">
        <v>352</v>
      </c>
      <c r="C60" s="8"/>
      <c r="D60" s="8"/>
      <c r="E60" s="8"/>
    </row>
    <row r="61" spans="1:5" x14ac:dyDescent="0.25">
      <c r="A61">
        <v>55</v>
      </c>
      <c r="B61" t="s">
        <v>353</v>
      </c>
      <c r="C61" s="8"/>
      <c r="D61" s="8"/>
      <c r="E61" s="8"/>
    </row>
    <row r="62" spans="1:5" x14ac:dyDescent="0.25">
      <c r="A62">
        <v>56</v>
      </c>
      <c r="B62" t="s">
        <v>354</v>
      </c>
      <c r="C62" s="8"/>
      <c r="D62" s="8"/>
      <c r="E62" s="8"/>
    </row>
    <row r="63" spans="1:5" x14ac:dyDescent="0.25">
      <c r="A63">
        <v>57</v>
      </c>
      <c r="B63" t="s">
        <v>355</v>
      </c>
      <c r="C63" s="8"/>
      <c r="D63" s="8"/>
      <c r="E63" s="8"/>
    </row>
    <row r="64" spans="1:5" x14ac:dyDescent="0.25">
      <c r="A64">
        <v>58</v>
      </c>
      <c r="B64" t="s">
        <v>356</v>
      </c>
      <c r="C64" s="8"/>
      <c r="D64" s="8"/>
      <c r="E64" s="8"/>
    </row>
    <row r="65" spans="1:5" x14ac:dyDescent="0.25">
      <c r="A65">
        <v>59</v>
      </c>
      <c r="B65" t="s">
        <v>357</v>
      </c>
      <c r="C65" s="8"/>
      <c r="D65" s="8"/>
      <c r="E65" s="8"/>
    </row>
    <row r="66" spans="1:5" x14ac:dyDescent="0.25">
      <c r="A66">
        <v>60</v>
      </c>
      <c r="B66" t="s">
        <v>358</v>
      </c>
      <c r="C66" s="8"/>
      <c r="D66" s="8"/>
      <c r="E66" s="8"/>
    </row>
    <row r="67" spans="1:5" x14ac:dyDescent="0.25">
      <c r="A67">
        <v>61</v>
      </c>
      <c r="B67" t="s">
        <v>359</v>
      </c>
      <c r="C67" s="8"/>
      <c r="D67" s="8"/>
      <c r="E67" s="8"/>
    </row>
    <row r="68" spans="1:5" x14ac:dyDescent="0.25">
      <c r="A68">
        <v>62</v>
      </c>
      <c r="B68" t="s">
        <v>360</v>
      </c>
      <c r="C68" s="8"/>
      <c r="D68" s="8"/>
      <c r="E68" s="8"/>
    </row>
    <row r="69" spans="1:5" x14ac:dyDescent="0.25">
      <c r="A69">
        <v>63</v>
      </c>
      <c r="B69" t="s">
        <v>361</v>
      </c>
      <c r="C69" s="8"/>
      <c r="D69" s="8"/>
      <c r="E69" s="8"/>
    </row>
    <row r="70" spans="1:5" x14ac:dyDescent="0.25">
      <c r="A70">
        <v>64</v>
      </c>
      <c r="B70" t="s">
        <v>361</v>
      </c>
      <c r="C70" s="8"/>
      <c r="D70" s="8"/>
      <c r="E70" s="8"/>
    </row>
    <row r="71" spans="1:5" x14ac:dyDescent="0.25">
      <c r="A71">
        <v>65</v>
      </c>
      <c r="B71" t="s">
        <v>361</v>
      </c>
      <c r="C71" s="8"/>
      <c r="D71" s="8"/>
      <c r="E71" s="8"/>
    </row>
    <row r="72" spans="1:5" x14ac:dyDescent="0.25">
      <c r="A72">
        <v>66</v>
      </c>
      <c r="B72" t="s">
        <v>361</v>
      </c>
      <c r="C72" s="8"/>
      <c r="D72" s="8"/>
      <c r="E72" s="8"/>
    </row>
    <row r="73" spans="1:5" x14ac:dyDescent="0.25">
      <c r="A73">
        <v>67</v>
      </c>
      <c r="B73" t="s">
        <v>361</v>
      </c>
      <c r="C73" s="8"/>
      <c r="D73" s="8"/>
      <c r="E73" s="8"/>
    </row>
    <row r="74" spans="1:5" x14ac:dyDescent="0.25">
      <c r="A74">
        <v>68</v>
      </c>
      <c r="B74" t="s">
        <v>361</v>
      </c>
      <c r="C74" s="8"/>
      <c r="D74" s="8"/>
      <c r="E74" s="8"/>
    </row>
    <row r="75" spans="1:5" x14ac:dyDescent="0.25">
      <c r="A75">
        <v>69</v>
      </c>
      <c r="B75" t="s">
        <v>361</v>
      </c>
      <c r="C75" s="8"/>
      <c r="D75" s="8"/>
      <c r="E75" s="8"/>
    </row>
    <row r="76" spans="1:5" x14ac:dyDescent="0.25">
      <c r="A76">
        <v>70</v>
      </c>
      <c r="B76" t="s">
        <v>361</v>
      </c>
      <c r="C76" s="8"/>
      <c r="D76" s="8"/>
      <c r="E76" s="8"/>
    </row>
    <row r="77" spans="1:5" x14ac:dyDescent="0.25">
      <c r="A77">
        <v>71</v>
      </c>
      <c r="B77" t="s">
        <v>361</v>
      </c>
      <c r="C77" s="8"/>
      <c r="D77" s="8"/>
      <c r="E77" s="8"/>
    </row>
    <row r="78" spans="1:5" x14ac:dyDescent="0.25">
      <c r="A78">
        <v>72</v>
      </c>
      <c r="B78" t="s">
        <v>361</v>
      </c>
      <c r="C78" s="8"/>
      <c r="D78" s="8"/>
      <c r="E78" s="8"/>
    </row>
    <row r="79" spans="1:5" x14ac:dyDescent="0.25">
      <c r="A79">
        <v>73</v>
      </c>
      <c r="B79" t="s">
        <v>361</v>
      </c>
      <c r="C79" s="8"/>
      <c r="D79" s="8"/>
      <c r="E79" s="8"/>
    </row>
    <row r="80" spans="1:5" x14ac:dyDescent="0.25">
      <c r="A80">
        <v>74</v>
      </c>
      <c r="B80" t="s">
        <v>361</v>
      </c>
      <c r="C80" s="8"/>
      <c r="D80" s="8"/>
      <c r="E80" s="8"/>
    </row>
    <row r="81" spans="1:5" x14ac:dyDescent="0.25">
      <c r="A81">
        <v>75</v>
      </c>
      <c r="B81" t="s">
        <v>361</v>
      </c>
      <c r="C81" s="8"/>
      <c r="D81" s="8"/>
      <c r="E81" s="8"/>
    </row>
    <row r="82" spans="1:5" x14ac:dyDescent="0.25">
      <c r="A82">
        <v>76</v>
      </c>
      <c r="B82" t="s">
        <v>361</v>
      </c>
      <c r="C82" s="8"/>
      <c r="D82" s="8"/>
      <c r="E82" s="8"/>
    </row>
    <row r="83" spans="1:5" x14ac:dyDescent="0.25">
      <c r="A83">
        <v>77</v>
      </c>
      <c r="B83" t="s">
        <v>361</v>
      </c>
      <c r="C83" s="8"/>
      <c r="D83" s="8"/>
      <c r="E83" s="8"/>
    </row>
    <row r="84" spans="1:5" x14ac:dyDescent="0.25">
      <c r="A84">
        <v>78</v>
      </c>
      <c r="B84" t="s">
        <v>361</v>
      </c>
      <c r="C84" s="8"/>
      <c r="D84" s="8"/>
      <c r="E84" s="8"/>
    </row>
    <row r="85" spans="1:5" x14ac:dyDescent="0.25">
      <c r="A85">
        <v>79</v>
      </c>
      <c r="B85" t="s">
        <v>361</v>
      </c>
      <c r="C85" s="8"/>
      <c r="D85" s="8"/>
      <c r="E85" s="8"/>
    </row>
    <row r="86" spans="1:5" x14ac:dyDescent="0.25">
      <c r="A86">
        <v>80</v>
      </c>
      <c r="B86" t="s">
        <v>361</v>
      </c>
      <c r="C86" s="8"/>
      <c r="D86" s="8"/>
      <c r="E86" s="8"/>
    </row>
    <row r="87" spans="1:5" x14ac:dyDescent="0.25">
      <c r="A87">
        <v>81</v>
      </c>
      <c r="B87" t="s">
        <v>361</v>
      </c>
      <c r="C87" s="8"/>
      <c r="D87" s="8"/>
      <c r="E87" s="8"/>
    </row>
    <row r="88" spans="1:5" x14ac:dyDescent="0.25">
      <c r="A88">
        <v>82</v>
      </c>
      <c r="B88" t="s">
        <v>361</v>
      </c>
      <c r="C88" s="8"/>
      <c r="D88" s="8"/>
      <c r="E88" s="8"/>
    </row>
    <row r="89" spans="1:5" x14ac:dyDescent="0.25">
      <c r="A89">
        <v>83</v>
      </c>
      <c r="B89" t="s">
        <v>361</v>
      </c>
      <c r="C89" s="8"/>
      <c r="D89" s="8"/>
      <c r="E89" s="8"/>
    </row>
    <row r="90" spans="1:5" x14ac:dyDescent="0.25">
      <c r="A90">
        <v>84</v>
      </c>
      <c r="B90" t="s">
        <v>361</v>
      </c>
      <c r="C90" s="8"/>
      <c r="D90" s="8"/>
      <c r="E90" s="8"/>
    </row>
    <row r="91" spans="1:5" x14ac:dyDescent="0.25">
      <c r="A91">
        <v>85</v>
      </c>
      <c r="B91" t="s">
        <v>361</v>
      </c>
      <c r="C91" s="8"/>
      <c r="D91" s="8"/>
      <c r="E91" s="8"/>
    </row>
    <row r="92" spans="1:5" x14ac:dyDescent="0.25">
      <c r="A92">
        <v>86</v>
      </c>
      <c r="B92" t="s">
        <v>361</v>
      </c>
      <c r="C92" s="8"/>
      <c r="D92" s="8"/>
      <c r="E92" s="8"/>
    </row>
    <row r="93" spans="1:5" x14ac:dyDescent="0.25">
      <c r="A93">
        <v>87</v>
      </c>
      <c r="B93" t="s">
        <v>361</v>
      </c>
      <c r="C93" s="8"/>
      <c r="D93" s="8"/>
      <c r="E93" s="8"/>
    </row>
    <row r="94" spans="1:5" x14ac:dyDescent="0.25">
      <c r="A94">
        <v>88</v>
      </c>
      <c r="B94" t="s">
        <v>361</v>
      </c>
      <c r="C94" s="8"/>
      <c r="D94" s="8"/>
      <c r="E94" s="8"/>
    </row>
    <row r="95" spans="1:5" x14ac:dyDescent="0.25">
      <c r="A95">
        <v>89</v>
      </c>
      <c r="B95" t="s">
        <v>361</v>
      </c>
      <c r="C95" s="8"/>
      <c r="D95" s="8"/>
      <c r="E95" s="8"/>
    </row>
    <row r="96" spans="1:5" x14ac:dyDescent="0.25">
      <c r="A96">
        <v>90</v>
      </c>
      <c r="B96" t="s">
        <v>361</v>
      </c>
      <c r="C96" s="8"/>
      <c r="D96" s="8"/>
      <c r="E96" s="8"/>
    </row>
    <row r="97" spans="1:5" x14ac:dyDescent="0.25">
      <c r="A97">
        <v>91</v>
      </c>
      <c r="B97" t="s">
        <v>361</v>
      </c>
      <c r="C97" s="8"/>
      <c r="D97" s="8"/>
      <c r="E97" s="8"/>
    </row>
    <row r="98" spans="1:5" x14ac:dyDescent="0.25">
      <c r="A98">
        <v>92</v>
      </c>
      <c r="B98" t="s">
        <v>361</v>
      </c>
      <c r="C98" s="8"/>
      <c r="D98" s="8"/>
      <c r="E98" s="8"/>
    </row>
    <row r="99" spans="1:5" x14ac:dyDescent="0.25">
      <c r="A99">
        <v>93</v>
      </c>
      <c r="B99" t="s">
        <v>361</v>
      </c>
      <c r="C99" s="8"/>
      <c r="D99" s="8"/>
      <c r="E99" s="8"/>
    </row>
    <row r="100" spans="1:5" x14ac:dyDescent="0.25">
      <c r="A100">
        <v>94</v>
      </c>
      <c r="B100" t="s">
        <v>361</v>
      </c>
      <c r="C100" s="8"/>
      <c r="D100" s="8"/>
      <c r="E100" s="8"/>
    </row>
    <row r="101" spans="1:5" x14ac:dyDescent="0.25">
      <c r="A101">
        <v>95</v>
      </c>
      <c r="B101" t="s">
        <v>361</v>
      </c>
      <c r="C101" s="8"/>
      <c r="D101" s="8"/>
      <c r="E101" s="8"/>
    </row>
    <row r="102" spans="1:5" x14ac:dyDescent="0.25">
      <c r="A102">
        <v>96</v>
      </c>
      <c r="B102" t="s">
        <v>361</v>
      </c>
      <c r="C102" s="8"/>
      <c r="D102" s="8"/>
      <c r="E102" s="8"/>
    </row>
    <row r="103" spans="1:5" x14ac:dyDescent="0.25">
      <c r="A103">
        <v>97</v>
      </c>
      <c r="B103" t="s">
        <v>361</v>
      </c>
      <c r="C103" s="8"/>
      <c r="D103" s="8"/>
      <c r="E103" s="8"/>
    </row>
    <row r="104" spans="1:5" x14ac:dyDescent="0.25">
      <c r="A104">
        <v>98</v>
      </c>
      <c r="B104" t="s">
        <v>361</v>
      </c>
      <c r="C104" s="8"/>
      <c r="D104" s="8"/>
      <c r="E104" s="8"/>
    </row>
    <row r="105" spans="1:5" x14ac:dyDescent="0.25">
      <c r="A105">
        <v>99</v>
      </c>
      <c r="B105" t="s">
        <v>361</v>
      </c>
      <c r="C105" s="8"/>
      <c r="D105" s="8"/>
      <c r="E105" s="8"/>
    </row>
    <row r="106" spans="1:5" x14ac:dyDescent="0.25">
      <c r="A106">
        <v>100</v>
      </c>
      <c r="B106" t="s">
        <v>361</v>
      </c>
      <c r="C106" s="8"/>
      <c r="D106" s="8"/>
      <c r="E10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workbookViewId="0">
      <selection activeCell="B2" sqref="B2"/>
    </sheetView>
  </sheetViews>
  <sheetFormatPr baseColWidth="10" defaultRowHeight="15" x14ac:dyDescent="0.25"/>
  <sheetData>
    <row r="1" spans="1:27" x14ac:dyDescent="0.25">
      <c r="B1" t="s">
        <v>294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  <c r="M1" t="s">
        <v>252</v>
      </c>
      <c r="N1" t="s">
        <v>253</v>
      </c>
      <c r="O1" t="s">
        <v>254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90</v>
      </c>
      <c r="X1" t="s">
        <v>262</v>
      </c>
      <c r="Y1" t="s">
        <v>263</v>
      </c>
      <c r="Z1" t="s">
        <v>264</v>
      </c>
      <c r="AA1" t="s">
        <v>265</v>
      </c>
    </row>
    <row r="2" spans="1:27" x14ac:dyDescent="0.25">
      <c r="A2" t="s">
        <v>25</v>
      </c>
    </row>
    <row r="3" spans="1:27" x14ac:dyDescent="0.25">
      <c r="A3" s="2" t="s">
        <v>26</v>
      </c>
      <c r="B3" s="2"/>
      <c r="J3" s="2"/>
    </row>
    <row r="4" spans="1:27" x14ac:dyDescent="0.25">
      <c r="A4" s="2" t="s">
        <v>27</v>
      </c>
      <c r="B4" s="2"/>
      <c r="J4" s="2"/>
      <c r="L4" s="2"/>
    </row>
    <row r="5" spans="1:27" x14ac:dyDescent="0.25">
      <c r="A5" s="2" t="s">
        <v>28</v>
      </c>
      <c r="B5" s="2"/>
      <c r="F5" s="1"/>
      <c r="J5" s="2"/>
      <c r="L5" s="2"/>
    </row>
    <row r="6" spans="1:27" x14ac:dyDescent="0.25">
      <c r="A6" s="2" t="s">
        <v>29</v>
      </c>
      <c r="B6" s="2"/>
      <c r="D6" s="1"/>
      <c r="F6" s="4"/>
      <c r="J6" s="2"/>
      <c r="L6" s="2"/>
    </row>
    <row r="7" spans="1:27" x14ac:dyDescent="0.25">
      <c r="A7" s="2" t="s">
        <v>30</v>
      </c>
      <c r="B7" s="2"/>
      <c r="F7" s="4"/>
      <c r="L7" s="1"/>
    </row>
    <row r="8" spans="1:27" x14ac:dyDescent="0.25">
      <c r="A8" s="2" t="s">
        <v>31</v>
      </c>
      <c r="B8" s="2"/>
      <c r="F8" s="4"/>
      <c r="L8" s="1"/>
    </row>
    <row r="9" spans="1:27" x14ac:dyDescent="0.25">
      <c r="A9" t="s">
        <v>32</v>
      </c>
      <c r="D9" s="3"/>
      <c r="L9" s="4"/>
    </row>
    <row r="10" spans="1:27" x14ac:dyDescent="0.25">
      <c r="A10" s="2" t="s">
        <v>33</v>
      </c>
      <c r="B10" s="2"/>
      <c r="L10" s="4"/>
    </row>
    <row r="11" spans="1:27" x14ac:dyDescent="0.25">
      <c r="A11" s="2" t="s">
        <v>34</v>
      </c>
      <c r="B11" s="2"/>
      <c r="L11" s="4"/>
    </row>
    <row r="12" spans="1:27" x14ac:dyDescent="0.25">
      <c r="A12" s="2" t="s">
        <v>35</v>
      </c>
      <c r="B12" s="2"/>
      <c r="L12" s="4"/>
    </row>
    <row r="13" spans="1:27" x14ac:dyDescent="0.25">
      <c r="A13" s="2" t="s">
        <v>36</v>
      </c>
      <c r="B13" s="2"/>
    </row>
    <row r="14" spans="1:27" x14ac:dyDescent="0.25">
      <c r="A14" s="2" t="s">
        <v>37</v>
      </c>
      <c r="B14" s="2"/>
      <c r="L14" s="2"/>
    </row>
    <row r="15" spans="1:27" x14ac:dyDescent="0.25">
      <c r="A15" s="1" t="s">
        <v>38</v>
      </c>
      <c r="B15" s="1"/>
      <c r="L15" s="2"/>
    </row>
    <row r="16" spans="1:27" x14ac:dyDescent="0.25">
      <c r="A16" s="4" t="s">
        <v>39</v>
      </c>
      <c r="B16" s="4"/>
      <c r="L16" s="2"/>
    </row>
    <row r="17" spans="1:12" x14ac:dyDescent="0.25">
      <c r="A17" s="4" t="s">
        <v>40</v>
      </c>
      <c r="B17" s="4"/>
      <c r="L17" s="2"/>
    </row>
    <row r="18" spans="1:12" x14ac:dyDescent="0.25">
      <c r="A18" s="4" t="s">
        <v>41</v>
      </c>
      <c r="B18" s="4"/>
    </row>
    <row r="19" spans="1:12" x14ac:dyDescent="0.25">
      <c r="A19" s="4" t="s">
        <v>42</v>
      </c>
      <c r="B19" s="4"/>
      <c r="L19" s="1"/>
    </row>
    <row r="20" spans="1:12" x14ac:dyDescent="0.25">
      <c r="A20" s="4" t="s">
        <v>43</v>
      </c>
      <c r="B20" s="4"/>
      <c r="L20" s="4"/>
    </row>
    <row r="21" spans="1:12" x14ac:dyDescent="0.25">
      <c r="A21" s="1" t="s">
        <v>44</v>
      </c>
      <c r="B21" s="1"/>
      <c r="L21" s="4"/>
    </row>
    <row r="22" spans="1:12" x14ac:dyDescent="0.25">
      <c r="A22" s="4" t="s">
        <v>45</v>
      </c>
      <c r="B22" s="4"/>
      <c r="L22" s="4"/>
    </row>
    <row r="23" spans="1:12" x14ac:dyDescent="0.25">
      <c r="A23" s="4" t="s">
        <v>46</v>
      </c>
      <c r="B23" s="4"/>
      <c r="L23" s="4"/>
    </row>
    <row r="24" spans="1:12" x14ac:dyDescent="0.25">
      <c r="A24" s="4" t="s">
        <v>47</v>
      </c>
      <c r="B24" s="4"/>
      <c r="L24" s="4"/>
    </row>
    <row r="25" spans="1:12" x14ac:dyDescent="0.25">
      <c r="A25" t="s">
        <v>48</v>
      </c>
    </row>
    <row r="26" spans="1:12" x14ac:dyDescent="0.25">
      <c r="A26" t="s">
        <v>48</v>
      </c>
    </row>
    <row r="27" spans="1:12" x14ac:dyDescent="0.25">
      <c r="A27" t="s">
        <v>49</v>
      </c>
    </row>
    <row r="28" spans="1:12" x14ac:dyDescent="0.25">
      <c r="A28" t="s">
        <v>51</v>
      </c>
    </row>
    <row r="29" spans="1:12" x14ac:dyDescent="0.25">
      <c r="A29" t="s">
        <v>52</v>
      </c>
    </row>
    <row r="30" spans="1:12" x14ac:dyDescent="0.25">
      <c r="A30" t="s">
        <v>53</v>
      </c>
    </row>
    <row r="31" spans="1:12" x14ac:dyDescent="0.25">
      <c r="A31" t="s">
        <v>54</v>
      </c>
    </row>
    <row r="32" spans="1:12" x14ac:dyDescent="0.25">
      <c r="A32" s="1" t="s">
        <v>55</v>
      </c>
      <c r="B32" s="1"/>
    </row>
    <row r="33" spans="1:3" x14ac:dyDescent="0.25">
      <c r="A33" t="s">
        <v>56</v>
      </c>
    </row>
    <row r="34" spans="1:3" x14ac:dyDescent="0.25">
      <c r="A34" t="s">
        <v>57</v>
      </c>
      <c r="C34">
        <v>11</v>
      </c>
    </row>
    <row r="35" spans="1:3" x14ac:dyDescent="0.25">
      <c r="A35" t="s">
        <v>60</v>
      </c>
    </row>
    <row r="36" spans="1:3" x14ac:dyDescent="0.25">
      <c r="A36" t="s">
        <v>61</v>
      </c>
    </row>
    <row r="37" spans="1:3" x14ac:dyDescent="0.25">
      <c r="A37" t="s">
        <v>62</v>
      </c>
    </row>
    <row r="38" spans="1:3" x14ac:dyDescent="0.25">
      <c r="A38" s="1" t="s">
        <v>63</v>
      </c>
      <c r="B38" s="1"/>
    </row>
    <row r="39" spans="1:3" x14ac:dyDescent="0.25">
      <c r="A39" s="4" t="s">
        <v>64</v>
      </c>
      <c r="B39" s="4"/>
    </row>
    <row r="40" spans="1:3" x14ac:dyDescent="0.25">
      <c r="A40" s="4" t="s">
        <v>65</v>
      </c>
      <c r="B40" s="4"/>
    </row>
    <row r="41" spans="1:3" x14ac:dyDescent="0.25">
      <c r="A41" s="4" t="s">
        <v>66</v>
      </c>
      <c r="B41" s="4"/>
    </row>
    <row r="42" spans="1:3" x14ac:dyDescent="0.25">
      <c r="A42" t="s">
        <v>67</v>
      </c>
      <c r="C42">
        <v>7</v>
      </c>
    </row>
    <row r="43" spans="1:3" x14ac:dyDescent="0.25">
      <c r="A43" t="s">
        <v>68</v>
      </c>
      <c r="C43">
        <v>13</v>
      </c>
    </row>
    <row r="44" spans="1:3" x14ac:dyDescent="0.25">
      <c r="A44" t="s">
        <v>58</v>
      </c>
    </row>
    <row r="45" spans="1:3" x14ac:dyDescent="0.25">
      <c r="A45" t="s">
        <v>71</v>
      </c>
    </row>
    <row r="46" spans="1:3" x14ac:dyDescent="0.25">
      <c r="A46" t="s">
        <v>72</v>
      </c>
    </row>
    <row r="47" spans="1:3" x14ac:dyDescent="0.25">
      <c r="A47" t="s">
        <v>73</v>
      </c>
    </row>
    <row r="48" spans="1:3" x14ac:dyDescent="0.25">
      <c r="A48" t="s">
        <v>74</v>
      </c>
    </row>
    <row r="49" spans="1:3" x14ac:dyDescent="0.25">
      <c r="A49" t="s">
        <v>75</v>
      </c>
    </row>
    <row r="50" spans="1:3" x14ac:dyDescent="0.25">
      <c r="A50" t="s">
        <v>76</v>
      </c>
      <c r="C50">
        <v>7</v>
      </c>
    </row>
    <row r="51" spans="1:3" x14ac:dyDescent="0.25">
      <c r="A51" t="s">
        <v>77</v>
      </c>
      <c r="C51">
        <v>8</v>
      </c>
    </row>
    <row r="52" spans="1:3" x14ac:dyDescent="0.25">
      <c r="A52" t="s">
        <v>78</v>
      </c>
    </row>
    <row r="53" spans="1:3" x14ac:dyDescent="0.25">
      <c r="A53" t="s">
        <v>79</v>
      </c>
    </row>
    <row r="54" spans="1:3" x14ac:dyDescent="0.25">
      <c r="A54" t="s">
        <v>70</v>
      </c>
    </row>
    <row r="55" spans="1:3" x14ac:dyDescent="0.25">
      <c r="A55" t="s">
        <v>80</v>
      </c>
    </row>
    <row r="56" spans="1:3" x14ac:dyDescent="0.25">
      <c r="A56" t="s">
        <v>81</v>
      </c>
    </row>
    <row r="57" spans="1:3" x14ac:dyDescent="0.25">
      <c r="A57" s="2" t="s">
        <v>82</v>
      </c>
      <c r="B57" s="2"/>
    </row>
    <row r="58" spans="1:3" x14ac:dyDescent="0.25">
      <c r="A58" s="2" t="s">
        <v>83</v>
      </c>
      <c r="B58" s="2"/>
    </row>
    <row r="59" spans="1:3" x14ac:dyDescent="0.25">
      <c r="A59" s="2" t="s">
        <v>84</v>
      </c>
      <c r="B59" s="2"/>
    </row>
    <row r="60" spans="1:3" x14ac:dyDescent="0.25">
      <c r="A60" s="2" t="s">
        <v>85</v>
      </c>
      <c r="B60" s="2"/>
    </row>
    <row r="61" spans="1:3" x14ac:dyDescent="0.25">
      <c r="A61" t="s">
        <v>86</v>
      </c>
    </row>
    <row r="62" spans="1:3" x14ac:dyDescent="0.25">
      <c r="A62" t="s">
        <v>87</v>
      </c>
    </row>
    <row r="63" spans="1:3" x14ac:dyDescent="0.25">
      <c r="A63" t="s">
        <v>88</v>
      </c>
      <c r="C63">
        <v>7</v>
      </c>
    </row>
    <row r="64" spans="1:3" x14ac:dyDescent="0.25">
      <c r="A64" t="s">
        <v>89</v>
      </c>
    </row>
    <row r="65" spans="1:3" x14ac:dyDescent="0.25">
      <c r="A65" t="s">
        <v>90</v>
      </c>
    </row>
    <row r="66" spans="1:3" x14ac:dyDescent="0.25">
      <c r="A66" t="s">
        <v>91</v>
      </c>
    </row>
    <row r="67" spans="1:3" x14ac:dyDescent="0.25">
      <c r="A67" t="s">
        <v>93</v>
      </c>
      <c r="C67">
        <v>7</v>
      </c>
    </row>
    <row r="68" spans="1:3" x14ac:dyDescent="0.25">
      <c r="A68" t="s">
        <v>94</v>
      </c>
    </row>
    <row r="69" spans="1:3" x14ac:dyDescent="0.25">
      <c r="A69" s="2" t="s">
        <v>95</v>
      </c>
      <c r="B69" s="2"/>
    </row>
    <row r="70" spans="1:3" x14ac:dyDescent="0.25">
      <c r="A70" s="2" t="s">
        <v>96</v>
      </c>
      <c r="B70" s="2"/>
    </row>
    <row r="71" spans="1:3" x14ac:dyDescent="0.25">
      <c r="A71" s="2" t="s">
        <v>97</v>
      </c>
      <c r="B71" s="2"/>
      <c r="C71">
        <v>10</v>
      </c>
    </row>
    <row r="72" spans="1:3" x14ac:dyDescent="0.25">
      <c r="A72" s="1" t="s">
        <v>98</v>
      </c>
      <c r="B72" s="1"/>
    </row>
    <row r="73" spans="1:3" x14ac:dyDescent="0.25">
      <c r="A73" s="1" t="s">
        <v>99</v>
      </c>
      <c r="B73" s="1"/>
    </row>
    <row r="74" spans="1:3" x14ac:dyDescent="0.25">
      <c r="A74" s="4" t="s">
        <v>100</v>
      </c>
      <c r="B74" s="4"/>
    </row>
    <row r="75" spans="1:3" x14ac:dyDescent="0.25">
      <c r="A75" s="4" t="s">
        <v>101</v>
      </c>
      <c r="B75" s="4"/>
    </row>
    <row r="76" spans="1:3" x14ac:dyDescent="0.25">
      <c r="A76" s="4" t="s">
        <v>102</v>
      </c>
      <c r="B76" s="4"/>
    </row>
    <row r="77" spans="1:3" x14ac:dyDescent="0.25">
      <c r="A77" s="4" t="s">
        <v>103</v>
      </c>
      <c r="B77" s="4"/>
      <c r="C77">
        <v>9</v>
      </c>
    </row>
    <row r="78" spans="1:3" x14ac:dyDescent="0.25">
      <c r="A78" t="s">
        <v>104</v>
      </c>
    </row>
    <row r="79" spans="1:3" x14ac:dyDescent="0.25">
      <c r="A79" s="2" t="s">
        <v>105</v>
      </c>
      <c r="B79" s="2"/>
    </row>
    <row r="80" spans="1:3" x14ac:dyDescent="0.25">
      <c r="A80" s="2" t="s">
        <v>106</v>
      </c>
      <c r="B80" s="2"/>
    </row>
    <row r="81" spans="1:3" x14ac:dyDescent="0.25">
      <c r="A81" s="2" t="s">
        <v>107</v>
      </c>
      <c r="B81" s="2"/>
    </row>
    <row r="82" spans="1:3" x14ac:dyDescent="0.25">
      <c r="A82" s="2" t="s">
        <v>108</v>
      </c>
      <c r="B82" s="2"/>
    </row>
    <row r="83" spans="1:3" x14ac:dyDescent="0.25">
      <c r="A83" t="s">
        <v>109</v>
      </c>
      <c r="C83">
        <v>8</v>
      </c>
    </row>
    <row r="84" spans="1:3" x14ac:dyDescent="0.25">
      <c r="A84" s="1" t="s">
        <v>110</v>
      </c>
      <c r="B84" s="1"/>
    </row>
    <row r="85" spans="1:3" x14ac:dyDescent="0.25">
      <c r="A85" s="4" t="s">
        <v>100</v>
      </c>
      <c r="B85" s="4"/>
    </row>
    <row r="86" spans="1:3" x14ac:dyDescent="0.25">
      <c r="A86" s="4" t="s">
        <v>101</v>
      </c>
      <c r="B86" s="4"/>
    </row>
    <row r="87" spans="1:3" x14ac:dyDescent="0.25">
      <c r="A87" s="4" t="s">
        <v>111</v>
      </c>
      <c r="B87" s="4"/>
    </row>
    <row r="88" spans="1:3" x14ac:dyDescent="0.25">
      <c r="A88" s="4" t="s">
        <v>102</v>
      </c>
      <c r="B88" s="4"/>
    </row>
    <row r="89" spans="1:3" x14ac:dyDescent="0.25">
      <c r="A89" s="4" t="s">
        <v>103</v>
      </c>
      <c r="B8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7" sqref="A7"/>
    </sheetView>
  </sheetViews>
  <sheetFormatPr baseColWidth="10" defaultRowHeight="15" x14ac:dyDescent="0.25"/>
  <sheetData>
    <row r="1" spans="1:4" x14ac:dyDescent="0.25">
      <c r="A1" t="s">
        <v>273</v>
      </c>
      <c r="B1" t="s">
        <v>274</v>
      </c>
      <c r="C1" t="s">
        <v>275</v>
      </c>
      <c r="D1" t="s">
        <v>276</v>
      </c>
    </row>
    <row r="2" spans="1:4" x14ac:dyDescent="0.25">
      <c r="A2" t="s">
        <v>270</v>
      </c>
    </row>
    <row r="3" spans="1:4" x14ac:dyDescent="0.25">
      <c r="A3" t="s">
        <v>271</v>
      </c>
    </row>
    <row r="4" spans="1:4" x14ac:dyDescent="0.25">
      <c r="A4" t="s">
        <v>272</v>
      </c>
    </row>
    <row r="6" spans="1:4" x14ac:dyDescent="0.25">
      <c r="A6" t="s">
        <v>282</v>
      </c>
    </row>
    <row r="7" spans="1:4" x14ac:dyDescent="0.25">
      <c r="A7" t="s">
        <v>283</v>
      </c>
      <c r="B7">
        <v>0</v>
      </c>
    </row>
    <row r="8" spans="1:4" x14ac:dyDescent="0.25">
      <c r="A8" t="s">
        <v>284</v>
      </c>
      <c r="B8">
        <v>3</v>
      </c>
    </row>
    <row r="9" spans="1:4" x14ac:dyDescent="0.25">
      <c r="A9" t="s">
        <v>285</v>
      </c>
      <c r="B9">
        <v>6</v>
      </c>
    </row>
    <row r="10" spans="1:4" x14ac:dyDescent="0.25">
      <c r="A10" t="s">
        <v>286</v>
      </c>
      <c r="B10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40" sqref="A40"/>
    </sheetView>
  </sheetViews>
  <sheetFormatPr baseColWidth="10" defaultRowHeight="15" x14ac:dyDescent="0.25"/>
  <sheetData>
    <row r="1" spans="1:7" x14ac:dyDescent="0.25">
      <c r="A1" s="5" t="s">
        <v>120</v>
      </c>
    </row>
    <row r="2" spans="1:7" x14ac:dyDescent="0.25">
      <c r="A2" s="6" t="s">
        <v>121</v>
      </c>
      <c r="B2" s="6" t="s">
        <v>122</v>
      </c>
      <c r="C2" s="6" t="s">
        <v>123</v>
      </c>
      <c r="D2" s="6" t="s">
        <v>124</v>
      </c>
      <c r="E2" s="6" t="s">
        <v>125</v>
      </c>
      <c r="F2" s="6" t="s">
        <v>126</v>
      </c>
      <c r="G2" s="6" t="s">
        <v>5</v>
      </c>
    </row>
    <row r="3" spans="1:7" x14ac:dyDescent="0.25">
      <c r="A3" s="5" t="s">
        <v>212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130</v>
      </c>
      <c r="G3" s="7" t="s">
        <v>131</v>
      </c>
    </row>
    <row r="4" spans="1:7" x14ac:dyDescent="0.25">
      <c r="A4" s="5" t="s">
        <v>132</v>
      </c>
      <c r="B4" s="7" t="s">
        <v>133</v>
      </c>
      <c r="C4" s="7" t="s">
        <v>129</v>
      </c>
      <c r="D4" s="7" t="s">
        <v>134</v>
      </c>
      <c r="E4" s="7" t="s">
        <v>134</v>
      </c>
      <c r="F4" s="7" t="s">
        <v>133</v>
      </c>
      <c r="G4" s="7" t="s">
        <v>131</v>
      </c>
    </row>
    <row r="5" spans="1:7" x14ac:dyDescent="0.25">
      <c r="A5" s="5" t="s">
        <v>135</v>
      </c>
      <c r="B5" s="7" t="s">
        <v>134</v>
      </c>
      <c r="C5" s="7" t="s">
        <v>134</v>
      </c>
      <c r="D5" s="7" t="s">
        <v>136</v>
      </c>
      <c r="E5" s="7" t="s">
        <v>136</v>
      </c>
      <c r="F5" s="7" t="s">
        <v>137</v>
      </c>
      <c r="G5" s="7" t="s">
        <v>131</v>
      </c>
    </row>
    <row r="6" spans="1:7" x14ac:dyDescent="0.25">
      <c r="A6" s="5" t="s">
        <v>213</v>
      </c>
      <c r="B6" s="7" t="s">
        <v>138</v>
      </c>
      <c r="C6" s="7" t="s">
        <v>139</v>
      </c>
      <c r="D6" s="7" t="s">
        <v>140</v>
      </c>
      <c r="E6" s="7" t="s">
        <v>141</v>
      </c>
      <c r="F6" s="7" t="s">
        <v>142</v>
      </c>
      <c r="G6" s="7" t="s">
        <v>143</v>
      </c>
    </row>
    <row r="7" spans="1:7" x14ac:dyDescent="0.25">
      <c r="A7" s="5" t="s">
        <v>144</v>
      </c>
      <c r="B7" s="7" t="s">
        <v>145</v>
      </c>
      <c r="C7" s="7" t="s">
        <v>137</v>
      </c>
      <c r="D7" s="7" t="s">
        <v>146</v>
      </c>
      <c r="E7" s="7" t="s">
        <v>147</v>
      </c>
      <c r="F7" s="7" t="s">
        <v>136</v>
      </c>
      <c r="G7" s="7" t="s">
        <v>131</v>
      </c>
    </row>
    <row r="8" spans="1:7" x14ac:dyDescent="0.25">
      <c r="A8" s="5" t="s">
        <v>148</v>
      </c>
      <c r="B8" s="7" t="s">
        <v>149</v>
      </c>
      <c r="C8" s="7" t="s">
        <v>138</v>
      </c>
      <c r="D8" s="7" t="s">
        <v>139</v>
      </c>
      <c r="E8" s="7" t="s">
        <v>139</v>
      </c>
      <c r="F8" s="7" t="s">
        <v>150</v>
      </c>
      <c r="G8" s="7" t="s">
        <v>151</v>
      </c>
    </row>
    <row r="9" spans="1:7" x14ac:dyDescent="0.25">
      <c r="A9" s="5" t="s">
        <v>152</v>
      </c>
      <c r="B9" s="7" t="s">
        <v>139</v>
      </c>
      <c r="C9" s="7" t="s">
        <v>153</v>
      </c>
      <c r="D9" s="7" t="s">
        <v>145</v>
      </c>
      <c r="E9" s="7" t="s">
        <v>154</v>
      </c>
      <c r="F9" s="7" t="s">
        <v>145</v>
      </c>
      <c r="G9" s="7" t="s">
        <v>131</v>
      </c>
    </row>
    <row r="10" spans="1:7" x14ac:dyDescent="0.25">
      <c r="A10" s="5" t="s">
        <v>155</v>
      </c>
      <c r="B10" s="7" t="s">
        <v>139</v>
      </c>
      <c r="C10" s="7" t="s">
        <v>139</v>
      </c>
      <c r="D10" s="7" t="s">
        <v>137</v>
      </c>
      <c r="E10" s="7" t="s">
        <v>136</v>
      </c>
      <c r="F10" s="7" t="s">
        <v>150</v>
      </c>
      <c r="G10" s="7" t="s">
        <v>156</v>
      </c>
    </row>
    <row r="11" spans="1:7" x14ac:dyDescent="0.25">
      <c r="A11" s="5" t="s">
        <v>157</v>
      </c>
      <c r="B11" s="7" t="s">
        <v>158</v>
      </c>
      <c r="C11" s="7" t="s">
        <v>159</v>
      </c>
      <c r="D11" s="7" t="s">
        <v>160</v>
      </c>
      <c r="E11" s="7" t="s">
        <v>161</v>
      </c>
      <c r="F11" s="7" t="s">
        <v>139</v>
      </c>
      <c r="G11" s="7" t="s">
        <v>131</v>
      </c>
    </row>
    <row r="12" spans="1:7" x14ac:dyDescent="0.25">
      <c r="A12" s="5" t="s">
        <v>214</v>
      </c>
      <c r="B12" s="7" t="s">
        <v>162</v>
      </c>
      <c r="C12" s="7" t="s">
        <v>163</v>
      </c>
      <c r="D12" s="7" t="s">
        <v>164</v>
      </c>
      <c r="E12" s="7" t="s">
        <v>165</v>
      </c>
      <c r="F12" s="7" t="s">
        <v>150</v>
      </c>
      <c r="G12" s="7" t="s">
        <v>160</v>
      </c>
    </row>
    <row r="13" spans="1:7" x14ac:dyDescent="0.25">
      <c r="A13" s="5" t="s">
        <v>166</v>
      </c>
      <c r="B13" s="7" t="s">
        <v>137</v>
      </c>
      <c r="C13" s="7" t="s">
        <v>134</v>
      </c>
      <c r="D13" s="7" t="s">
        <v>167</v>
      </c>
      <c r="E13" s="7" t="s">
        <v>168</v>
      </c>
      <c r="F13" s="7" t="s">
        <v>150</v>
      </c>
      <c r="G13" s="7" t="s">
        <v>131</v>
      </c>
    </row>
    <row r="14" spans="1:7" x14ac:dyDescent="0.25">
      <c r="A14" s="5" t="s">
        <v>215</v>
      </c>
      <c r="B14" s="7" t="s">
        <v>169</v>
      </c>
      <c r="C14" s="7" t="s">
        <v>150</v>
      </c>
      <c r="D14" s="7" t="s">
        <v>170</v>
      </c>
      <c r="E14" s="7" t="s">
        <v>127</v>
      </c>
      <c r="F14" s="7" t="s">
        <v>171</v>
      </c>
      <c r="G14" s="7" t="s">
        <v>172</v>
      </c>
    </row>
    <row r="15" spans="1:7" x14ac:dyDescent="0.25">
      <c r="A15" s="5" t="s">
        <v>216</v>
      </c>
      <c r="B15" s="7" t="s">
        <v>139</v>
      </c>
      <c r="C15" s="7" t="s">
        <v>139</v>
      </c>
      <c r="D15" s="7" t="s">
        <v>173</v>
      </c>
      <c r="E15" s="7" t="s">
        <v>137</v>
      </c>
      <c r="F15" s="7" t="s">
        <v>139</v>
      </c>
      <c r="G15" s="7" t="s">
        <v>174</v>
      </c>
    </row>
    <row r="16" spans="1:7" x14ac:dyDescent="0.25">
      <c r="A16" s="5" t="s">
        <v>175</v>
      </c>
      <c r="B16" s="7" t="s">
        <v>176</v>
      </c>
      <c r="C16" s="7" t="s">
        <v>177</v>
      </c>
      <c r="D16" s="7" t="s">
        <v>136</v>
      </c>
      <c r="E16" s="7" t="s">
        <v>178</v>
      </c>
      <c r="F16" s="7" t="s">
        <v>136</v>
      </c>
      <c r="G16" s="8" t="s">
        <v>131</v>
      </c>
    </row>
    <row r="17" spans="1:7" x14ac:dyDescent="0.25">
      <c r="A17" s="5" t="s">
        <v>266</v>
      </c>
      <c r="B17" s="7" t="s">
        <v>267</v>
      </c>
      <c r="C17" s="7" t="s">
        <v>149</v>
      </c>
      <c r="D17" s="7" t="s">
        <v>200</v>
      </c>
      <c r="E17" s="7" t="s">
        <v>172</v>
      </c>
      <c r="F17" s="7" t="s">
        <v>268</v>
      </c>
      <c r="G17" s="8" t="s">
        <v>131</v>
      </c>
    </row>
    <row r="18" spans="1:7" x14ac:dyDescent="0.25">
      <c r="A18" s="5" t="s">
        <v>179</v>
      </c>
      <c r="B18" s="7" t="s">
        <v>133</v>
      </c>
      <c r="C18" s="7" t="s">
        <v>133</v>
      </c>
      <c r="D18" s="7" t="s">
        <v>177</v>
      </c>
      <c r="E18" s="7" t="s">
        <v>137</v>
      </c>
      <c r="F18" s="7" t="s">
        <v>180</v>
      </c>
      <c r="G18" s="7" t="s">
        <v>174</v>
      </c>
    </row>
    <row r="19" spans="1:7" x14ac:dyDescent="0.25">
      <c r="A19" s="5" t="s">
        <v>181</v>
      </c>
      <c r="B19" s="7" t="s">
        <v>182</v>
      </c>
      <c r="C19" s="7" t="s">
        <v>134</v>
      </c>
      <c r="D19" s="7" t="s">
        <v>146</v>
      </c>
      <c r="E19" s="7" t="s">
        <v>127</v>
      </c>
      <c r="F19" s="7" t="s">
        <v>183</v>
      </c>
      <c r="G19" s="7" t="s">
        <v>184</v>
      </c>
    </row>
    <row r="20" spans="1:7" x14ac:dyDescent="0.25">
      <c r="A20" s="5" t="s">
        <v>217</v>
      </c>
      <c r="B20" s="7" t="s">
        <v>159</v>
      </c>
      <c r="C20" s="7" t="s">
        <v>137</v>
      </c>
      <c r="D20" s="7" t="s">
        <v>127</v>
      </c>
      <c r="E20" s="7" t="s">
        <v>169</v>
      </c>
      <c r="F20" s="7" t="s">
        <v>137</v>
      </c>
      <c r="G20" s="7" t="s">
        <v>131</v>
      </c>
    </row>
    <row r="21" spans="1:7" x14ac:dyDescent="0.25">
      <c r="A21" s="5" t="s">
        <v>185</v>
      </c>
      <c r="B21" s="7" t="s">
        <v>177</v>
      </c>
      <c r="C21" s="7" t="s">
        <v>134</v>
      </c>
      <c r="D21" s="7" t="s">
        <v>128</v>
      </c>
      <c r="E21" s="7" t="s">
        <v>128</v>
      </c>
      <c r="F21" s="7" t="s">
        <v>177</v>
      </c>
      <c r="G21" s="7" t="s">
        <v>131</v>
      </c>
    </row>
    <row r="22" spans="1:7" x14ac:dyDescent="0.25">
      <c r="A22" s="5" t="s">
        <v>186</v>
      </c>
      <c r="B22" s="7" t="s">
        <v>139</v>
      </c>
      <c r="C22" s="7" t="s">
        <v>142</v>
      </c>
      <c r="D22" s="7" t="s">
        <v>178</v>
      </c>
      <c r="E22" s="7" t="s">
        <v>137</v>
      </c>
      <c r="F22" s="7" t="s">
        <v>139</v>
      </c>
      <c r="G22" s="7" t="s">
        <v>187</v>
      </c>
    </row>
    <row r="23" spans="1:7" x14ac:dyDescent="0.25">
      <c r="A23" s="5" t="s">
        <v>188</v>
      </c>
      <c r="B23" s="7" t="s">
        <v>133</v>
      </c>
      <c r="C23" s="7" t="s">
        <v>150</v>
      </c>
      <c r="D23" s="7" t="s">
        <v>169</v>
      </c>
      <c r="E23" s="7" t="s">
        <v>128</v>
      </c>
      <c r="F23" s="7" t="s">
        <v>139</v>
      </c>
      <c r="G23" s="7" t="s">
        <v>189</v>
      </c>
    </row>
    <row r="24" spans="1:7" x14ac:dyDescent="0.25">
      <c r="A24" s="5" t="s">
        <v>218</v>
      </c>
      <c r="B24" s="7" t="s">
        <v>158</v>
      </c>
      <c r="C24" s="7" t="s">
        <v>133</v>
      </c>
      <c r="D24" s="7" t="s">
        <v>177</v>
      </c>
      <c r="E24" s="7" t="s">
        <v>137</v>
      </c>
      <c r="F24" s="7" t="s">
        <v>137</v>
      </c>
      <c r="G24" s="7" t="s">
        <v>137</v>
      </c>
    </row>
    <row r="25" spans="1:7" x14ac:dyDescent="0.25">
      <c r="A25" s="5" t="s">
        <v>219</v>
      </c>
      <c r="B25" s="7" t="s">
        <v>158</v>
      </c>
      <c r="C25" s="7" t="s">
        <v>158</v>
      </c>
      <c r="D25" s="7" t="s">
        <v>191</v>
      </c>
      <c r="E25" s="7" t="s">
        <v>150</v>
      </c>
      <c r="F25" s="7" t="s">
        <v>136</v>
      </c>
      <c r="G25" s="7" t="s">
        <v>139</v>
      </c>
    </row>
    <row r="26" spans="1:7" x14ac:dyDescent="0.25">
      <c r="A26" s="5" t="s">
        <v>220</v>
      </c>
      <c r="B26" s="7" t="s">
        <v>192</v>
      </c>
      <c r="C26" s="7" t="s">
        <v>193</v>
      </c>
      <c r="D26" s="7" t="s">
        <v>176</v>
      </c>
      <c r="E26" s="7" t="s">
        <v>129</v>
      </c>
      <c r="F26" s="7" t="s">
        <v>128</v>
      </c>
      <c r="G26" s="7" t="s">
        <v>131</v>
      </c>
    </row>
    <row r="27" spans="1:7" x14ac:dyDescent="0.25">
      <c r="A27" s="5" t="s">
        <v>221</v>
      </c>
      <c r="B27" s="7" t="s">
        <v>191</v>
      </c>
      <c r="C27" s="7" t="s">
        <v>165</v>
      </c>
      <c r="D27" s="7" t="s">
        <v>161</v>
      </c>
      <c r="E27" s="7" t="s">
        <v>194</v>
      </c>
      <c r="F27" s="7" t="s">
        <v>170</v>
      </c>
      <c r="G27" s="7" t="s">
        <v>131</v>
      </c>
    </row>
    <row r="28" spans="1:7" x14ac:dyDescent="0.25">
      <c r="A28" s="5" t="s">
        <v>195</v>
      </c>
      <c r="B28" s="7" t="s">
        <v>137</v>
      </c>
      <c r="C28" s="7" t="s">
        <v>139</v>
      </c>
      <c r="D28" s="7" t="s">
        <v>196</v>
      </c>
      <c r="E28" s="7" t="s">
        <v>139</v>
      </c>
      <c r="F28" s="7" t="s">
        <v>136</v>
      </c>
      <c r="G28" s="7" t="s">
        <v>197</v>
      </c>
    </row>
    <row r="29" spans="1:7" x14ac:dyDescent="0.25">
      <c r="A29" s="5" t="s">
        <v>198</v>
      </c>
      <c r="B29" s="7" t="s">
        <v>177</v>
      </c>
      <c r="C29" s="7" t="s">
        <v>177</v>
      </c>
      <c r="D29" s="7" t="s">
        <v>137</v>
      </c>
      <c r="E29" s="7" t="s">
        <v>190</v>
      </c>
      <c r="F29" s="7" t="s">
        <v>137</v>
      </c>
      <c r="G29" s="7" t="s">
        <v>197</v>
      </c>
    </row>
    <row r="30" spans="1:7" x14ac:dyDescent="0.25">
      <c r="A30" s="5" t="s">
        <v>222</v>
      </c>
      <c r="B30" s="7" t="s">
        <v>199</v>
      </c>
      <c r="C30" s="7" t="s">
        <v>128</v>
      </c>
      <c r="D30" s="7" t="s">
        <v>142</v>
      </c>
      <c r="E30" s="7" t="s">
        <v>133</v>
      </c>
      <c r="F30" s="7" t="s">
        <v>167</v>
      </c>
      <c r="G30" s="7" t="s">
        <v>131</v>
      </c>
    </row>
    <row r="31" spans="1:7" x14ac:dyDescent="0.25">
      <c r="A31" s="5" t="s">
        <v>226</v>
      </c>
      <c r="B31" s="7" t="s">
        <v>139</v>
      </c>
      <c r="C31" s="7" t="s">
        <v>139</v>
      </c>
      <c r="D31" s="7" t="s">
        <v>137</v>
      </c>
      <c r="E31" s="7" t="s">
        <v>137</v>
      </c>
      <c r="F31" s="7" t="s">
        <v>139</v>
      </c>
      <c r="G31" s="7" t="s">
        <v>200</v>
      </c>
    </row>
    <row r="32" spans="1:7" x14ac:dyDescent="0.25">
      <c r="A32" s="5" t="s">
        <v>223</v>
      </c>
      <c r="B32" s="7" t="s">
        <v>191</v>
      </c>
      <c r="C32" s="7" t="s">
        <v>134</v>
      </c>
      <c r="D32" s="7" t="s">
        <v>190</v>
      </c>
      <c r="E32" s="7" t="s">
        <v>170</v>
      </c>
      <c r="F32" s="7" t="s">
        <v>128</v>
      </c>
      <c r="G32" s="7" t="s">
        <v>201</v>
      </c>
    </row>
    <row r="33" spans="1:7" x14ac:dyDescent="0.25">
      <c r="A33" s="5" t="s">
        <v>224</v>
      </c>
      <c r="B33" s="7" t="s">
        <v>137</v>
      </c>
      <c r="C33" s="7" t="s">
        <v>202</v>
      </c>
      <c r="D33" s="7" t="s">
        <v>190</v>
      </c>
      <c r="E33" s="7" t="s">
        <v>180</v>
      </c>
      <c r="F33" s="7" t="s">
        <v>190</v>
      </c>
      <c r="G33" s="7" t="s">
        <v>174</v>
      </c>
    </row>
    <row r="34" spans="1:7" x14ac:dyDescent="0.25">
      <c r="A34" s="5" t="s">
        <v>225</v>
      </c>
      <c r="B34" s="7" t="s">
        <v>191</v>
      </c>
      <c r="C34" s="7" t="s">
        <v>134</v>
      </c>
      <c r="D34" s="7" t="s">
        <v>139</v>
      </c>
      <c r="E34" s="7" t="s">
        <v>133</v>
      </c>
      <c r="F34" s="7" t="s">
        <v>134</v>
      </c>
      <c r="G34" s="7" t="s">
        <v>203</v>
      </c>
    </row>
    <row r="35" spans="1:7" x14ac:dyDescent="0.25">
      <c r="A35" s="5" t="s">
        <v>204</v>
      </c>
      <c r="B35" s="7" t="s">
        <v>205</v>
      </c>
      <c r="C35" s="7" t="s">
        <v>206</v>
      </c>
      <c r="D35" s="7" t="s">
        <v>191</v>
      </c>
      <c r="E35" s="7" t="s">
        <v>136</v>
      </c>
      <c r="F35" s="7" t="s">
        <v>133</v>
      </c>
      <c r="G35" s="7" t="s">
        <v>189</v>
      </c>
    </row>
    <row r="36" spans="1:7" x14ac:dyDescent="0.25">
      <c r="A36" s="5" t="s">
        <v>207</v>
      </c>
      <c r="B36" s="7" t="s">
        <v>134</v>
      </c>
      <c r="C36" s="7" t="s">
        <v>191</v>
      </c>
      <c r="D36" s="7" t="s">
        <v>163</v>
      </c>
      <c r="E36" s="7" t="s">
        <v>163</v>
      </c>
      <c r="F36" s="7" t="s">
        <v>200</v>
      </c>
      <c r="G36" s="7" t="s">
        <v>131</v>
      </c>
    </row>
    <row r="37" spans="1:7" x14ac:dyDescent="0.25">
      <c r="A37" s="5" t="s">
        <v>208</v>
      </c>
      <c r="B37" s="7" t="s">
        <v>142</v>
      </c>
      <c r="C37" s="7" t="s">
        <v>139</v>
      </c>
      <c r="D37" s="7" t="s">
        <v>137</v>
      </c>
      <c r="E37" s="7" t="s">
        <v>137</v>
      </c>
      <c r="F37" s="7" t="s">
        <v>190</v>
      </c>
      <c r="G37" s="7" t="s">
        <v>174</v>
      </c>
    </row>
    <row r="38" spans="1:7" x14ac:dyDescent="0.25">
      <c r="A38" s="5" t="s">
        <v>209</v>
      </c>
      <c r="B38" s="7" t="s">
        <v>196</v>
      </c>
      <c r="C38" s="7" t="s">
        <v>137</v>
      </c>
      <c r="D38" s="7" t="s">
        <v>164</v>
      </c>
      <c r="E38" s="7" t="s">
        <v>127</v>
      </c>
      <c r="F38" s="7" t="s">
        <v>140</v>
      </c>
      <c r="G38" s="7" t="s">
        <v>131</v>
      </c>
    </row>
    <row r="39" spans="1:7" x14ac:dyDescent="0.25">
      <c r="A39" s="5" t="s">
        <v>269</v>
      </c>
      <c r="B39" s="7" t="s">
        <v>210</v>
      </c>
      <c r="C39" s="7" t="s">
        <v>210</v>
      </c>
      <c r="D39" s="7" t="s">
        <v>137</v>
      </c>
      <c r="E39" s="7" t="s">
        <v>137</v>
      </c>
      <c r="F39" s="7" t="s">
        <v>137</v>
      </c>
      <c r="G39" s="7" t="s">
        <v>211</v>
      </c>
    </row>
  </sheetData>
  <pageMargins left="0.7" right="0.7" top="0.75" bottom="0.75" header="0.3" footer="0.3"/>
  <pageSetup paperSize="9" orientation="portrait" horizontalDpi="120" verticalDpi="12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H32" sqref="H32"/>
    </sheetView>
  </sheetViews>
  <sheetFormatPr baseColWidth="10" defaultColWidth="5.7109375" defaultRowHeight="12.75" x14ac:dyDescent="0.2"/>
  <cols>
    <col min="1" max="16384" width="5.7109375" style="9"/>
  </cols>
  <sheetData>
    <row r="1" spans="1:20" x14ac:dyDescent="0.2"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</row>
    <row r="2" spans="1:20" ht="15" x14ac:dyDescent="0.3">
      <c r="B2" s="10" t="s">
        <v>131</v>
      </c>
      <c r="C2" s="10" t="s">
        <v>174</v>
      </c>
      <c r="D2" s="10" t="s">
        <v>227</v>
      </c>
      <c r="E2" s="10" t="s">
        <v>197</v>
      </c>
      <c r="F2" s="10" t="s">
        <v>187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0" t="s">
        <v>234</v>
      </c>
      <c r="N2" s="10" t="s">
        <v>235</v>
      </c>
      <c r="O2" s="10" t="s">
        <v>236</v>
      </c>
      <c r="P2" s="10" t="s">
        <v>237</v>
      </c>
      <c r="Q2" s="10" t="s">
        <v>238</v>
      </c>
      <c r="R2" s="10" t="s">
        <v>239</v>
      </c>
      <c r="S2" s="10" t="s">
        <v>240</v>
      </c>
      <c r="T2" s="10" t="s">
        <v>241</v>
      </c>
    </row>
    <row r="3" spans="1:20" ht="15" x14ac:dyDescent="0.3">
      <c r="A3" s="11">
        <v>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</row>
    <row r="4" spans="1:20" ht="15" x14ac:dyDescent="0.3">
      <c r="A4" s="11">
        <v>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</row>
    <row r="5" spans="1:20" ht="15" x14ac:dyDescent="0.3">
      <c r="A5" s="11">
        <v>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</row>
    <row r="6" spans="1:20" ht="15" x14ac:dyDescent="0.3">
      <c r="A6" s="11">
        <v>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5" x14ac:dyDescent="0.3">
      <c r="A7" s="11">
        <v>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5" x14ac:dyDescent="0.3">
      <c r="A8" s="11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5" x14ac:dyDescent="0.3">
      <c r="A9" s="11">
        <v>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5" x14ac:dyDescent="0.3">
      <c r="A10" s="11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1</v>
      </c>
    </row>
    <row r="11" spans="1:20" ht="15" x14ac:dyDescent="0.3">
      <c r="A11" s="11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1</v>
      </c>
      <c r="R11" s="9">
        <v>1</v>
      </c>
      <c r="S11" s="9">
        <v>1</v>
      </c>
      <c r="T11" s="9">
        <v>1</v>
      </c>
    </row>
    <row r="12" spans="1:20" ht="15" x14ac:dyDescent="0.3">
      <c r="A12" s="11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</row>
    <row r="13" spans="1:20" ht="15" x14ac:dyDescent="0.3">
      <c r="A13" s="11">
        <v>13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1</v>
      </c>
      <c r="I13" s="9">
        <v>0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2</v>
      </c>
    </row>
    <row r="14" spans="1:20" ht="15" x14ac:dyDescent="0.3">
      <c r="A14" s="11">
        <v>14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2</v>
      </c>
      <c r="R14" s="9">
        <v>2</v>
      </c>
      <c r="S14" s="9">
        <v>2</v>
      </c>
      <c r="T14" s="9">
        <v>2</v>
      </c>
    </row>
    <row r="15" spans="1:20" ht="15" x14ac:dyDescent="0.3">
      <c r="A15" s="11">
        <v>15</v>
      </c>
      <c r="B15" s="9">
        <v>0</v>
      </c>
      <c r="C15" s="9">
        <v>0</v>
      </c>
      <c r="D15" s="9">
        <v>0</v>
      </c>
      <c r="E15" s="9">
        <v>1</v>
      </c>
      <c r="F15" s="9">
        <v>0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</row>
    <row r="16" spans="1:20" ht="15" x14ac:dyDescent="0.3">
      <c r="A16" s="11">
        <v>16</v>
      </c>
      <c r="B16" s="9">
        <v>0</v>
      </c>
      <c r="C16" s="9">
        <v>0</v>
      </c>
      <c r="D16" s="9">
        <v>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2</v>
      </c>
      <c r="L16" s="9">
        <v>1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3</v>
      </c>
      <c r="S16" s="9">
        <v>3</v>
      </c>
      <c r="T16" s="9">
        <v>3</v>
      </c>
    </row>
    <row r="17" spans="1:20" ht="15" x14ac:dyDescent="0.3">
      <c r="A17" s="11">
        <v>17</v>
      </c>
      <c r="B17" s="9">
        <v>0</v>
      </c>
      <c r="C17" s="9">
        <v>0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3</v>
      </c>
      <c r="Q17" s="9">
        <v>3</v>
      </c>
      <c r="R17" s="9">
        <v>3</v>
      </c>
      <c r="S17" s="9">
        <v>3</v>
      </c>
      <c r="T17" s="9">
        <v>3</v>
      </c>
    </row>
    <row r="18" spans="1:20" ht="15" x14ac:dyDescent="0.3">
      <c r="A18" s="11">
        <v>18</v>
      </c>
      <c r="B18" s="9">
        <v>0</v>
      </c>
      <c r="C18" s="9">
        <v>0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2</v>
      </c>
      <c r="K18" s="9">
        <v>2</v>
      </c>
      <c r="L18" s="9">
        <v>2</v>
      </c>
      <c r="M18" s="9">
        <v>2</v>
      </c>
      <c r="N18" s="9">
        <v>3</v>
      </c>
      <c r="O18" s="9">
        <v>3</v>
      </c>
      <c r="P18" s="9">
        <v>3</v>
      </c>
      <c r="Q18" s="9">
        <v>3</v>
      </c>
      <c r="R18" s="9">
        <v>3</v>
      </c>
      <c r="S18" s="9">
        <v>4</v>
      </c>
      <c r="T18" s="9">
        <v>4</v>
      </c>
    </row>
    <row r="19" spans="1:20" ht="15" x14ac:dyDescent="0.3">
      <c r="A19" s="11">
        <v>19</v>
      </c>
      <c r="B19" s="9">
        <v>0</v>
      </c>
      <c r="C19" s="9">
        <v>0</v>
      </c>
      <c r="D19" s="9">
        <v>1</v>
      </c>
      <c r="E19" s="9">
        <v>1</v>
      </c>
      <c r="F19" s="9">
        <v>1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3</v>
      </c>
      <c r="N19" s="9">
        <v>3</v>
      </c>
      <c r="O19" s="9">
        <v>3</v>
      </c>
      <c r="P19" s="9">
        <v>3</v>
      </c>
      <c r="Q19" s="9">
        <v>4</v>
      </c>
      <c r="R19" s="9">
        <v>4</v>
      </c>
      <c r="S19" s="9">
        <v>4</v>
      </c>
      <c r="T19" s="9">
        <v>4</v>
      </c>
    </row>
    <row r="20" spans="1:20" ht="15" x14ac:dyDescent="0.3">
      <c r="A20" s="11">
        <v>20</v>
      </c>
      <c r="B20" s="9">
        <v>0</v>
      </c>
      <c r="C20" s="9">
        <v>0</v>
      </c>
      <c r="D20" s="9">
        <v>1</v>
      </c>
      <c r="E20" s="9">
        <v>1</v>
      </c>
      <c r="F20" s="9">
        <v>1</v>
      </c>
      <c r="G20" s="9">
        <v>2</v>
      </c>
      <c r="H20" s="9">
        <v>2</v>
      </c>
      <c r="I20" s="9">
        <v>2</v>
      </c>
      <c r="J20" s="9">
        <v>2</v>
      </c>
      <c r="K20" s="9">
        <v>3</v>
      </c>
      <c r="L20" s="9">
        <v>3</v>
      </c>
      <c r="M20" s="9">
        <v>3</v>
      </c>
      <c r="N20" s="9">
        <v>3</v>
      </c>
      <c r="O20" s="9">
        <v>4</v>
      </c>
      <c r="P20" s="9">
        <v>4</v>
      </c>
      <c r="Q20" s="9">
        <v>4</v>
      </c>
      <c r="R20" s="9">
        <v>4</v>
      </c>
      <c r="S20" s="9">
        <v>5</v>
      </c>
      <c r="T20" s="9">
        <v>5</v>
      </c>
    </row>
    <row r="21" spans="1:20" ht="15" x14ac:dyDescent="0.3">
      <c r="A21" s="11">
        <v>21</v>
      </c>
      <c r="B21" s="9">
        <v>0</v>
      </c>
      <c r="C21" s="9">
        <v>1</v>
      </c>
      <c r="D21" s="9">
        <v>1</v>
      </c>
      <c r="E21" s="9">
        <v>1</v>
      </c>
      <c r="F21" s="9">
        <v>1</v>
      </c>
      <c r="G21" s="9">
        <v>2</v>
      </c>
      <c r="H21" s="9">
        <v>2</v>
      </c>
      <c r="I21" s="9">
        <v>2</v>
      </c>
      <c r="J21" s="9">
        <v>3</v>
      </c>
      <c r="K21" s="9">
        <v>3</v>
      </c>
      <c r="L21" s="9">
        <v>3</v>
      </c>
      <c r="M21" s="9">
        <v>3</v>
      </c>
      <c r="N21" s="9">
        <v>4</v>
      </c>
      <c r="O21" s="9">
        <v>4</v>
      </c>
      <c r="P21" s="9">
        <v>4</v>
      </c>
      <c r="Q21" s="9">
        <v>4</v>
      </c>
      <c r="R21" s="9">
        <v>5</v>
      </c>
      <c r="S21" s="9">
        <v>5</v>
      </c>
      <c r="T21" s="9">
        <v>5</v>
      </c>
    </row>
    <row r="22" spans="1:20" ht="15" x14ac:dyDescent="0.3">
      <c r="A22" s="11">
        <v>22</v>
      </c>
      <c r="B22" s="9">
        <v>0</v>
      </c>
      <c r="C22" s="9">
        <v>1</v>
      </c>
      <c r="D22" s="9">
        <v>1</v>
      </c>
      <c r="E22" s="9">
        <v>1</v>
      </c>
      <c r="F22" s="9">
        <v>2</v>
      </c>
      <c r="G22" s="9">
        <v>2</v>
      </c>
      <c r="H22" s="9">
        <v>2</v>
      </c>
      <c r="I22" s="9">
        <v>2</v>
      </c>
      <c r="J22" s="9">
        <v>3</v>
      </c>
      <c r="K22" s="9">
        <v>3</v>
      </c>
      <c r="L22" s="9">
        <v>3</v>
      </c>
      <c r="M22" s="9">
        <v>4</v>
      </c>
      <c r="N22" s="9">
        <v>4</v>
      </c>
      <c r="O22" s="9">
        <v>4</v>
      </c>
      <c r="P22" s="9">
        <v>4</v>
      </c>
      <c r="Q22" s="9">
        <v>5</v>
      </c>
      <c r="R22" s="9">
        <v>5</v>
      </c>
      <c r="S22" s="9">
        <v>6</v>
      </c>
      <c r="T22" s="9">
        <v>6</v>
      </c>
    </row>
    <row r="23" spans="1:20" ht="15" x14ac:dyDescent="0.3">
      <c r="A23" s="11">
        <v>23</v>
      </c>
      <c r="B23" s="9">
        <v>0</v>
      </c>
      <c r="C23" s="9">
        <v>1</v>
      </c>
      <c r="D23" s="9">
        <v>1</v>
      </c>
      <c r="E23" s="9">
        <v>1</v>
      </c>
      <c r="F23" s="9">
        <v>2</v>
      </c>
      <c r="G23" s="9">
        <v>2</v>
      </c>
      <c r="H23" s="9">
        <v>2</v>
      </c>
      <c r="I23" s="9">
        <v>2</v>
      </c>
      <c r="J23" s="9">
        <v>3</v>
      </c>
      <c r="K23" s="9">
        <v>3</v>
      </c>
      <c r="L23" s="9">
        <v>3</v>
      </c>
      <c r="M23" s="9">
        <v>4</v>
      </c>
      <c r="N23" s="9">
        <v>4</v>
      </c>
      <c r="O23" s="9">
        <v>4</v>
      </c>
      <c r="P23" s="9">
        <v>5</v>
      </c>
      <c r="Q23" s="9">
        <v>5</v>
      </c>
      <c r="R23" s="9">
        <v>5</v>
      </c>
      <c r="S23" s="9">
        <v>6</v>
      </c>
      <c r="T23" s="9">
        <v>6</v>
      </c>
    </row>
    <row r="24" spans="1:20" ht="15" x14ac:dyDescent="0.3">
      <c r="A24" s="11">
        <v>24</v>
      </c>
      <c r="B24" s="9">
        <v>0</v>
      </c>
      <c r="C24" s="9">
        <v>1</v>
      </c>
      <c r="D24" s="9">
        <v>1</v>
      </c>
      <c r="E24" s="9">
        <v>1</v>
      </c>
      <c r="F24" s="9">
        <v>2</v>
      </c>
      <c r="G24" s="9">
        <v>2</v>
      </c>
      <c r="H24" s="9">
        <v>2</v>
      </c>
      <c r="I24" s="9">
        <v>3</v>
      </c>
      <c r="J24" s="9">
        <v>3</v>
      </c>
      <c r="K24" s="9">
        <v>3</v>
      </c>
      <c r="L24" s="9">
        <v>4</v>
      </c>
      <c r="M24" s="9">
        <v>4</v>
      </c>
      <c r="N24" s="9">
        <v>4</v>
      </c>
      <c r="O24" s="9">
        <v>5</v>
      </c>
      <c r="P24" s="9">
        <v>5</v>
      </c>
      <c r="Q24" s="9">
        <v>5</v>
      </c>
      <c r="R24" s="9">
        <v>6</v>
      </c>
      <c r="S24" s="9">
        <v>6</v>
      </c>
      <c r="T24" s="9">
        <v>6</v>
      </c>
    </row>
    <row r="25" spans="1:20" ht="15" x14ac:dyDescent="0.3">
      <c r="A25" s="11">
        <v>25</v>
      </c>
      <c r="B25" s="9">
        <v>0</v>
      </c>
      <c r="C25" s="9">
        <v>1</v>
      </c>
      <c r="D25" s="9">
        <v>1</v>
      </c>
      <c r="E25" s="9">
        <v>1</v>
      </c>
      <c r="F25" s="9">
        <v>2</v>
      </c>
      <c r="G25" s="9">
        <v>2</v>
      </c>
      <c r="H25" s="9">
        <v>2</v>
      </c>
      <c r="I25" s="9">
        <v>3</v>
      </c>
      <c r="J25" s="9">
        <v>3</v>
      </c>
      <c r="K25" s="9">
        <v>3</v>
      </c>
      <c r="L25" s="9">
        <v>4</v>
      </c>
      <c r="M25" s="9">
        <v>4</v>
      </c>
      <c r="N25" s="9">
        <v>4</v>
      </c>
      <c r="O25" s="9">
        <v>5</v>
      </c>
      <c r="P25" s="9">
        <v>5</v>
      </c>
      <c r="Q25" s="9">
        <v>5</v>
      </c>
      <c r="R25" s="9">
        <v>6</v>
      </c>
      <c r="S25" s="9">
        <v>6</v>
      </c>
      <c r="T25" s="9">
        <v>6</v>
      </c>
    </row>
    <row r="26" spans="1:20" ht="15" x14ac:dyDescent="0.3">
      <c r="A26" s="11">
        <v>26</v>
      </c>
      <c r="B26" s="9">
        <v>0</v>
      </c>
      <c r="C26" s="9">
        <v>1</v>
      </c>
      <c r="D26" s="9">
        <v>1</v>
      </c>
      <c r="E26" s="9">
        <v>1</v>
      </c>
      <c r="F26" s="9">
        <v>2</v>
      </c>
      <c r="G26" s="9">
        <v>2</v>
      </c>
      <c r="H26" s="9">
        <v>2</v>
      </c>
      <c r="I26" s="9">
        <v>3</v>
      </c>
      <c r="J26" s="9">
        <v>3</v>
      </c>
      <c r="K26" s="9">
        <v>3</v>
      </c>
      <c r="L26" s="9">
        <v>4</v>
      </c>
      <c r="M26" s="9">
        <v>4</v>
      </c>
      <c r="N26" s="9">
        <v>4</v>
      </c>
      <c r="O26" s="9">
        <v>5</v>
      </c>
      <c r="P26" s="9">
        <v>5</v>
      </c>
      <c r="Q26" s="9">
        <v>5</v>
      </c>
      <c r="R26" s="9">
        <v>6</v>
      </c>
      <c r="S26" s="9">
        <v>6</v>
      </c>
      <c r="T26" s="9">
        <v>6</v>
      </c>
    </row>
    <row r="27" spans="1:20" ht="15" x14ac:dyDescent="0.3">
      <c r="A27" s="11">
        <v>27</v>
      </c>
      <c r="B27" s="9">
        <v>0</v>
      </c>
      <c r="C27" s="9">
        <v>1</v>
      </c>
      <c r="D27" s="9">
        <v>1</v>
      </c>
      <c r="E27" s="9">
        <v>1</v>
      </c>
      <c r="F27" s="9">
        <v>2</v>
      </c>
      <c r="G27" s="9">
        <v>2</v>
      </c>
      <c r="H27" s="9">
        <v>2</v>
      </c>
      <c r="I27" s="9">
        <v>3</v>
      </c>
      <c r="J27" s="9">
        <v>3</v>
      </c>
      <c r="K27" s="9">
        <v>3</v>
      </c>
      <c r="L27" s="9">
        <v>4</v>
      </c>
      <c r="M27" s="9">
        <v>4</v>
      </c>
      <c r="N27" s="9">
        <v>4</v>
      </c>
      <c r="O27" s="9">
        <v>5</v>
      </c>
      <c r="P27" s="9">
        <v>5</v>
      </c>
      <c r="Q27" s="9">
        <v>5</v>
      </c>
      <c r="R27" s="9">
        <v>6</v>
      </c>
      <c r="S27" s="9">
        <v>6</v>
      </c>
      <c r="T27" s="9">
        <v>6</v>
      </c>
    </row>
    <row r="28" spans="1:20" ht="15" x14ac:dyDescent="0.3">
      <c r="A28" s="11">
        <v>28</v>
      </c>
      <c r="B28" s="9">
        <v>0</v>
      </c>
      <c r="C28" s="9">
        <v>1</v>
      </c>
      <c r="D28" s="9">
        <v>1</v>
      </c>
      <c r="E28" s="9">
        <v>1</v>
      </c>
      <c r="F28" s="9">
        <v>2</v>
      </c>
      <c r="G28" s="9">
        <v>2</v>
      </c>
      <c r="H28" s="9">
        <v>2</v>
      </c>
      <c r="I28" s="9">
        <v>3</v>
      </c>
      <c r="J28" s="9">
        <v>3</v>
      </c>
      <c r="K28" s="9">
        <v>3</v>
      </c>
      <c r="L28" s="9">
        <v>4</v>
      </c>
      <c r="M28" s="9">
        <v>4</v>
      </c>
      <c r="N28" s="9">
        <v>4</v>
      </c>
      <c r="O28" s="9">
        <v>5</v>
      </c>
      <c r="P28" s="9">
        <v>5</v>
      </c>
      <c r="Q28" s="9">
        <v>5</v>
      </c>
      <c r="R28" s="9">
        <v>6</v>
      </c>
      <c r="S28" s="9">
        <v>6</v>
      </c>
      <c r="T28" s="9">
        <v>6</v>
      </c>
    </row>
    <row r="29" spans="1:20" ht="15" x14ac:dyDescent="0.3">
      <c r="A29" s="11">
        <v>29</v>
      </c>
      <c r="B29" s="9">
        <v>0</v>
      </c>
      <c r="C29" s="9">
        <v>1</v>
      </c>
      <c r="D29" s="9">
        <v>1</v>
      </c>
      <c r="E29" s="9">
        <v>1</v>
      </c>
      <c r="F29" s="9">
        <v>2</v>
      </c>
      <c r="G29" s="9">
        <v>2</v>
      </c>
      <c r="H29" s="9">
        <v>2</v>
      </c>
      <c r="I29" s="9">
        <v>3</v>
      </c>
      <c r="J29" s="9">
        <v>3</v>
      </c>
      <c r="K29" s="9">
        <v>3</v>
      </c>
      <c r="L29" s="9">
        <v>4</v>
      </c>
      <c r="M29" s="9">
        <v>4</v>
      </c>
      <c r="N29" s="9">
        <v>4</v>
      </c>
      <c r="O29" s="9">
        <v>5</v>
      </c>
      <c r="P29" s="9">
        <v>5</v>
      </c>
      <c r="Q29" s="9">
        <v>5</v>
      </c>
      <c r="R29" s="9">
        <v>6</v>
      </c>
      <c r="S29" s="9">
        <v>6</v>
      </c>
      <c r="T29" s="9">
        <v>6</v>
      </c>
    </row>
    <row r="30" spans="1:20" ht="15" x14ac:dyDescent="0.3">
      <c r="A30" s="11">
        <v>30</v>
      </c>
      <c r="B30" s="9">
        <v>0</v>
      </c>
      <c r="C30" s="9">
        <v>1</v>
      </c>
      <c r="D30" s="9">
        <v>1</v>
      </c>
      <c r="E30" s="9">
        <v>1</v>
      </c>
      <c r="F30" s="9">
        <v>2</v>
      </c>
      <c r="G30" s="9">
        <v>2</v>
      </c>
      <c r="H30" s="9">
        <v>2</v>
      </c>
      <c r="I30" s="9">
        <v>3</v>
      </c>
      <c r="J30" s="9">
        <v>3</v>
      </c>
      <c r="K30" s="9">
        <v>3</v>
      </c>
      <c r="L30" s="9">
        <v>4</v>
      </c>
      <c r="M30" s="9">
        <v>4</v>
      </c>
      <c r="N30" s="9">
        <v>4</v>
      </c>
      <c r="O30" s="9">
        <v>5</v>
      </c>
      <c r="P30" s="9">
        <v>5</v>
      </c>
      <c r="Q30" s="9">
        <v>5</v>
      </c>
      <c r="R30" s="9">
        <v>6</v>
      </c>
      <c r="S30" s="9">
        <v>6</v>
      </c>
      <c r="T30" s="9">
        <v>6</v>
      </c>
    </row>
    <row r="31" spans="1:20" ht="13.5" thickBot="1" x14ac:dyDescent="0.25"/>
    <row r="32" spans="1:20" x14ac:dyDescent="0.2">
      <c r="A32" s="12" t="s">
        <v>122</v>
      </c>
      <c r="B32" s="13" t="s">
        <v>123</v>
      </c>
      <c r="C32" s="13" t="s">
        <v>124</v>
      </c>
      <c r="D32" s="13" t="s">
        <v>125</v>
      </c>
      <c r="E32" s="13" t="s">
        <v>126</v>
      </c>
      <c r="F32" s="14" t="s">
        <v>5</v>
      </c>
    </row>
    <row r="33" spans="1:6" ht="13.5" thickBot="1" x14ac:dyDescent="0.25">
      <c r="A33" s="15">
        <f t="shared" ref="A33:F33" ca="1" si="0">+RANDBETWEEN(3,30)</f>
        <v>24</v>
      </c>
      <c r="B33" s="16">
        <f t="shared" ca="1" si="0"/>
        <v>4</v>
      </c>
      <c r="C33" s="16">
        <f t="shared" ca="1" si="0"/>
        <v>25</v>
      </c>
      <c r="D33" s="16">
        <f t="shared" ca="1" si="0"/>
        <v>29</v>
      </c>
      <c r="E33" s="16">
        <f t="shared" ca="1" si="0"/>
        <v>12</v>
      </c>
      <c r="F33" s="17">
        <f t="shared" ca="1" si="0"/>
        <v>30</v>
      </c>
    </row>
  </sheetData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Base</vt:lpstr>
      <vt:lpstr>Equipo</vt:lpstr>
      <vt:lpstr>Virtudes y defectos</vt:lpstr>
      <vt:lpstr>Ocupaciones</vt:lpstr>
      <vt:lpstr>Factores planetarios</vt:lpstr>
      <vt:lpstr>Especies</vt:lpstr>
      <vt:lpstr>Características</vt:lpstr>
      <vt:lpstr>Base!Área_de_impresión</vt:lpstr>
      <vt:lpstr>Especies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2016-08-20T08:35:56Z</dcterms:modified>
</cp:coreProperties>
</file>